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codeName="ThisWorkbook" autoCompressPictures="0"/>
  <bookViews>
    <workbookView xWindow="0" yWindow="0" windowWidth="25600" windowHeight="14420" tabRatio="946"/>
  </bookViews>
  <sheets>
    <sheet name="Specifikace VIS" sheetId="8" r:id="rId1"/>
    <sheet name="Doba instalace" sheetId="2" state="hidden" r:id="rId2"/>
    <sheet name="Kalkulace" sheetId="3" state="hidden" r:id="rId3"/>
  </sheets>
  <definedNames>
    <definedName name="_xlnm._FilterDatabase" localSheetId="0" hidden="1">'Specifikace VIS'!$A$4:$G$9</definedName>
    <definedName name="_xlnm.Print_Area" localSheetId="2">Kalkulace!$A$1:$K$99</definedName>
    <definedName name="_xlnm.Print_Area" localSheetId="0">'Specifikace VIS'!$A$2:$I$31</definedName>
    <definedName name="_xlnm.Print_Titles" localSheetId="2">Kalkulace!$3:$4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8" l="1"/>
  <c r="F8" i="8"/>
  <c r="F9" i="8"/>
  <c r="F10" i="8"/>
  <c r="F11" i="8"/>
  <c r="F12" i="8"/>
  <c r="F16" i="8"/>
  <c r="F20" i="8"/>
  <c r="F21" i="8"/>
  <c r="F22" i="8"/>
  <c r="F23" i="8"/>
  <c r="F24" i="8"/>
  <c r="F25" i="8"/>
  <c r="F26" i="8"/>
  <c r="F27" i="8"/>
  <c r="F28" i="8"/>
  <c r="F13" i="8"/>
  <c r="F17" i="8"/>
  <c r="F29" i="8"/>
  <c r="F31" i="8"/>
  <c r="G20" i="8"/>
  <c r="G21" i="8"/>
  <c r="G22" i="8"/>
  <c r="G23" i="8"/>
  <c r="G16" i="8"/>
  <c r="G17" i="8"/>
  <c r="I17" i="8"/>
  <c r="D16" i="8"/>
  <c r="D17" i="8"/>
  <c r="G7" i="8"/>
  <c r="E9" i="8"/>
  <c r="G9" i="8"/>
  <c r="E10" i="8"/>
  <c r="G10" i="8"/>
  <c r="E11" i="8"/>
  <c r="G11" i="8"/>
  <c r="E12" i="8"/>
  <c r="G12" i="8"/>
  <c r="G8" i="8"/>
  <c r="G13" i="8"/>
  <c r="G31" i="8"/>
  <c r="G27" i="8"/>
  <c r="G28" i="8"/>
  <c r="D12" i="8"/>
  <c r="D11" i="8"/>
  <c r="D10" i="8"/>
  <c r="G26" i="8"/>
  <c r="G25" i="8"/>
  <c r="G24" i="8"/>
  <c r="D9" i="8"/>
  <c r="D8" i="8"/>
  <c r="D7" i="8"/>
  <c r="C3" i="2"/>
  <c r="E34" i="2"/>
  <c r="G34" i="2"/>
  <c r="C4" i="2"/>
  <c r="E49" i="2"/>
  <c r="C5" i="2"/>
  <c r="E31" i="2"/>
  <c r="C6" i="2"/>
  <c r="C12" i="2"/>
  <c r="E24" i="2"/>
  <c r="C13" i="2"/>
  <c r="E25" i="2"/>
  <c r="C16" i="2"/>
  <c r="G20" i="2"/>
  <c r="J20" i="2"/>
  <c r="M20" i="2"/>
  <c r="G21" i="2"/>
  <c r="J21" i="2"/>
  <c r="M21" i="2"/>
  <c r="G22" i="2"/>
  <c r="J22" i="2"/>
  <c r="M22" i="2"/>
  <c r="G23" i="2"/>
  <c r="J23" i="2"/>
  <c r="M23" i="2"/>
  <c r="F24" i="2"/>
  <c r="J24" i="2"/>
  <c r="M24" i="2"/>
  <c r="F25" i="2"/>
  <c r="J25" i="2"/>
  <c r="M25" i="2"/>
  <c r="J26" i="2"/>
  <c r="M26" i="2"/>
  <c r="G27" i="2"/>
  <c r="H27" i="2"/>
  <c r="J27" i="2"/>
  <c r="D28" i="2"/>
  <c r="H28" i="2"/>
  <c r="J28" i="2"/>
  <c r="D29" i="2"/>
  <c r="G29" i="2"/>
  <c r="J29" i="2"/>
  <c r="D30" i="2"/>
  <c r="F30" i="2"/>
  <c r="J30" i="2"/>
  <c r="D31" i="2"/>
  <c r="F31" i="2"/>
  <c r="J31" i="2"/>
  <c r="D32" i="2"/>
  <c r="F32" i="2"/>
  <c r="J32" i="2"/>
  <c r="D33" i="2"/>
  <c r="D34" i="2"/>
  <c r="J34" i="2"/>
  <c r="D35" i="2"/>
  <c r="J35" i="2"/>
  <c r="D36" i="2"/>
  <c r="J36" i="2"/>
  <c r="D37" i="2"/>
  <c r="J37" i="2"/>
  <c r="D38" i="2"/>
  <c r="F38" i="2"/>
  <c r="J38" i="2"/>
  <c r="D39" i="2"/>
  <c r="D40" i="2"/>
  <c r="F40" i="2"/>
  <c r="J40" i="2"/>
  <c r="D41" i="2"/>
  <c r="F41" i="2"/>
  <c r="J41" i="2"/>
  <c r="D42" i="2"/>
  <c r="F42" i="2"/>
  <c r="J42" i="2"/>
  <c r="D43" i="2"/>
  <c r="D44" i="2"/>
  <c r="F44" i="2"/>
  <c r="J44" i="2"/>
  <c r="D45" i="2"/>
  <c r="D46" i="2"/>
  <c r="F46" i="2"/>
  <c r="J46" i="2"/>
  <c r="D47" i="2"/>
  <c r="F47" i="2"/>
  <c r="J47" i="2"/>
  <c r="D48" i="2"/>
  <c r="F48" i="2"/>
  <c r="J48" i="2"/>
  <c r="D49" i="2"/>
  <c r="D50" i="2"/>
  <c r="F50" i="2"/>
  <c r="J50" i="2"/>
  <c r="D51" i="2"/>
  <c r="D52" i="2"/>
  <c r="F52" i="2"/>
  <c r="J52" i="2"/>
  <c r="D53" i="2"/>
  <c r="F53" i="2"/>
  <c r="J53" i="2"/>
  <c r="D54" i="2"/>
  <c r="F54" i="2"/>
  <c r="J54" i="2"/>
  <c r="D55" i="2"/>
  <c r="D56" i="2"/>
  <c r="G56" i="2"/>
  <c r="I56" i="2"/>
  <c r="H56" i="2"/>
  <c r="J56" i="2"/>
  <c r="G58" i="2"/>
  <c r="H58" i="2"/>
  <c r="L58" i="2"/>
  <c r="M58" i="2"/>
  <c r="D59" i="2"/>
  <c r="D60" i="2"/>
  <c r="G60" i="2"/>
  <c r="L60" i="2"/>
  <c r="H60" i="2"/>
  <c r="M60" i="2"/>
  <c r="G62" i="2"/>
  <c r="L62" i="2"/>
  <c r="H62" i="2"/>
  <c r="M62" i="2"/>
  <c r="G64" i="2"/>
  <c r="L64" i="2"/>
  <c r="M64" i="2"/>
  <c r="G65" i="2"/>
  <c r="L65" i="2"/>
  <c r="H65" i="2"/>
  <c r="M65" i="2"/>
  <c r="J14" i="3"/>
  <c r="K14" i="3"/>
  <c r="J16" i="3"/>
  <c r="K16" i="3"/>
  <c r="J18" i="3"/>
  <c r="J20" i="3"/>
  <c r="K25" i="3"/>
  <c r="K26" i="3"/>
  <c r="K27" i="3"/>
  <c r="K28" i="3"/>
  <c r="K29" i="3"/>
  <c r="K30" i="3"/>
  <c r="K33" i="3"/>
  <c r="K34" i="3"/>
  <c r="K35" i="3"/>
  <c r="I37" i="3"/>
  <c r="K37" i="3"/>
  <c r="I38" i="3"/>
  <c r="K38" i="3"/>
  <c r="I39" i="3"/>
  <c r="K39" i="3"/>
  <c r="K44" i="3"/>
  <c r="K45" i="3"/>
  <c r="K46" i="3"/>
  <c r="K47" i="3"/>
  <c r="K49" i="3"/>
  <c r="K50" i="3"/>
  <c r="K51" i="3"/>
  <c r="K53" i="3"/>
  <c r="F55" i="3"/>
  <c r="K55" i="3"/>
  <c r="K57" i="3"/>
  <c r="K58" i="3"/>
  <c r="K59" i="3"/>
  <c r="K64" i="3"/>
  <c r="K76" i="3"/>
  <c r="K65" i="3"/>
  <c r="G79" i="3"/>
  <c r="K79" i="3"/>
  <c r="K85" i="3"/>
  <c r="J79" i="3"/>
  <c r="G80" i="3"/>
  <c r="J80" i="3"/>
  <c r="K80" i="3"/>
  <c r="G81" i="3"/>
  <c r="J81" i="3"/>
  <c r="G82" i="3"/>
  <c r="J82" i="3"/>
  <c r="K82" i="3"/>
  <c r="G83" i="3"/>
  <c r="J83" i="3"/>
  <c r="J88" i="3"/>
  <c r="J90" i="3"/>
  <c r="K97" i="3"/>
  <c r="K93" i="3"/>
  <c r="E55" i="2"/>
  <c r="H55" i="2"/>
  <c r="J55" i="2"/>
  <c r="E48" i="2"/>
  <c r="E38" i="2"/>
  <c r="E53" i="2"/>
  <c r="G53" i="2"/>
  <c r="I53" i="2"/>
  <c r="E52" i="2"/>
  <c r="E44" i="2"/>
  <c r="G44" i="2"/>
  <c r="I44" i="2"/>
  <c r="E42" i="2"/>
  <c r="G42" i="2"/>
  <c r="I42" i="2"/>
  <c r="E51" i="2"/>
  <c r="H51" i="2"/>
  <c r="J51" i="2"/>
  <c r="E39" i="2"/>
  <c r="H39" i="2"/>
  <c r="J39" i="2"/>
  <c r="E40" i="2"/>
  <c r="I13" i="8"/>
  <c r="G29" i="8"/>
  <c r="I29" i="8"/>
  <c r="G38" i="2"/>
  <c r="I38" i="2"/>
  <c r="I34" i="2"/>
  <c r="G52" i="2"/>
  <c r="I52" i="2"/>
  <c r="M28" i="2"/>
  <c r="G25" i="2"/>
  <c r="G24" i="2"/>
  <c r="I74" i="2"/>
  <c r="G40" i="2"/>
  <c r="I40" i="2"/>
  <c r="G48" i="2"/>
  <c r="I48" i="2"/>
  <c r="G31" i="2"/>
  <c r="G55" i="2"/>
  <c r="I55" i="2"/>
  <c r="K81" i="3"/>
  <c r="L23" i="2"/>
  <c r="E33" i="2"/>
  <c r="H33" i="2"/>
  <c r="J33" i="2"/>
  <c r="J71" i="2"/>
  <c r="I31" i="3"/>
  <c r="E36" i="2"/>
  <c r="G36" i="2"/>
  <c r="I36" i="2"/>
  <c r="E59" i="2"/>
  <c r="G59" i="2"/>
  <c r="E54" i="2"/>
  <c r="G54" i="2"/>
  <c r="I54" i="2"/>
  <c r="G51" i="2"/>
  <c r="I51" i="2"/>
  <c r="E26" i="2"/>
  <c r="G26" i="2"/>
  <c r="E46" i="2"/>
  <c r="G46" i="2"/>
  <c r="I46" i="2"/>
  <c r="E50" i="2"/>
  <c r="G50" i="2"/>
  <c r="I50" i="2"/>
  <c r="L20" i="2"/>
  <c r="L71" i="2"/>
  <c r="F18" i="3"/>
  <c r="K96" i="3"/>
  <c r="K98" i="3"/>
  <c r="E47" i="2"/>
  <c r="G47" i="2"/>
  <c r="I47" i="2"/>
  <c r="E43" i="2"/>
  <c r="H43" i="2"/>
  <c r="J43" i="2"/>
  <c r="E41" i="2"/>
  <c r="G41" i="2"/>
  <c r="I41" i="2"/>
  <c r="E45" i="2"/>
  <c r="G45" i="2"/>
  <c r="I45" i="2"/>
  <c r="L25" i="2"/>
  <c r="G28" i="2"/>
  <c r="L21" i="2"/>
  <c r="E63" i="2"/>
  <c r="H63" i="2"/>
  <c r="M63" i="2"/>
  <c r="E30" i="2"/>
  <c r="G30" i="2"/>
  <c r="K83" i="3"/>
  <c r="E35" i="2"/>
  <c r="G35" i="2"/>
  <c r="I35" i="2"/>
  <c r="E32" i="2"/>
  <c r="G32" i="2"/>
  <c r="I32" i="2"/>
  <c r="L22" i="2"/>
  <c r="G39" i="2"/>
  <c r="I39" i="2"/>
  <c r="L24" i="2"/>
  <c r="I27" i="2"/>
  <c r="E37" i="2"/>
  <c r="G37" i="2"/>
  <c r="I37" i="2"/>
  <c r="E57" i="2"/>
  <c r="I31" i="2"/>
  <c r="L26" i="2"/>
  <c r="H49" i="2"/>
  <c r="J49" i="2"/>
  <c r="G49" i="2"/>
  <c r="I49" i="2"/>
  <c r="E61" i="2"/>
  <c r="L59" i="2"/>
  <c r="I20" i="2"/>
  <c r="I71" i="2"/>
  <c r="H59" i="2"/>
  <c r="M59" i="2"/>
  <c r="M71" i="2"/>
  <c r="I32" i="3"/>
  <c r="I29" i="2"/>
  <c r="I30" i="2"/>
  <c r="E68" i="2"/>
  <c r="G43" i="2"/>
  <c r="I43" i="2"/>
  <c r="I21" i="2"/>
  <c r="I31" i="8"/>
  <c r="K18" i="3"/>
  <c r="K22" i="3"/>
  <c r="K94" i="3"/>
  <c r="K95" i="3"/>
  <c r="I95" i="3"/>
  <c r="I72" i="2"/>
  <c r="G33" i="2"/>
  <c r="I33" i="2"/>
  <c r="L72" i="2"/>
  <c r="L73" i="2"/>
  <c r="G63" i="2"/>
  <c r="H45" i="2"/>
  <c r="J45" i="2"/>
  <c r="I28" i="2"/>
  <c r="L28" i="2"/>
  <c r="J57" i="2"/>
  <c r="I57" i="2"/>
  <c r="H68" i="2"/>
  <c r="M68" i="2"/>
  <c r="E67" i="2"/>
  <c r="G68" i="2"/>
  <c r="L68" i="2"/>
  <c r="E69" i="2"/>
  <c r="L61" i="2"/>
  <c r="M61" i="2"/>
  <c r="I73" i="2"/>
  <c r="F31" i="3"/>
  <c r="K31" i="3"/>
  <c r="K41" i="3"/>
  <c r="F20" i="3"/>
  <c r="K20" i="3"/>
  <c r="F54" i="3"/>
  <c r="K54" i="3"/>
  <c r="K61" i="3"/>
  <c r="K99" i="3"/>
  <c r="I99" i="3"/>
  <c r="E66" i="2"/>
  <c r="L63" i="2"/>
  <c r="F32" i="3"/>
  <c r="K32" i="3"/>
  <c r="H67" i="2"/>
  <c r="M67" i="2"/>
  <c r="G67" i="2"/>
  <c r="G69" i="2"/>
  <c r="L69" i="2"/>
  <c r="H69" i="2"/>
  <c r="M69" i="2"/>
  <c r="L66" i="2"/>
  <c r="M66" i="2"/>
  <c r="L67" i="2"/>
  <c r="E70" i="2"/>
  <c r="M70" i="2"/>
  <c r="L70" i="2"/>
</calcChain>
</file>

<file path=xl/comments1.xml><?xml version="1.0" encoding="utf-8"?>
<comments xmlns="http://schemas.openxmlformats.org/spreadsheetml/2006/main">
  <authors>
    <author>PF</author>
  </authors>
  <commentList>
    <comment ref="B22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4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5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nastavení skupin pájením</t>
        </r>
      </text>
    </comment>
  </commentList>
</comments>
</file>

<file path=xl/comments2.xml><?xml version="1.0" encoding="utf-8"?>
<comments xmlns="http://schemas.openxmlformats.org/spreadsheetml/2006/main">
  <authors>
    <author>PF</author>
  </authors>
  <commentList>
    <comment ref="J79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siréna, převaděč
akustická studie</t>
        </r>
      </text>
    </comment>
    <comment ref="J8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 xml:space="preserve">Revize
</t>
        </r>
      </text>
    </comment>
  </commentList>
</comments>
</file>

<file path=xl/sharedStrings.xml><?xml version="1.0" encoding="utf-8"?>
<sst xmlns="http://schemas.openxmlformats.org/spreadsheetml/2006/main" count="338" uniqueCount="208">
  <si>
    <t>Jednotková cena bez DPH</t>
  </si>
  <si>
    <t>ks</t>
  </si>
  <si>
    <t>Celkem bez DPH</t>
  </si>
  <si>
    <t>Celkem s DPH</t>
  </si>
  <si>
    <t>Zaškolení obsluhy</t>
  </si>
  <si>
    <t>Vzdálenost k zákazníkovi:</t>
  </si>
  <si>
    <t>Průměr instalované oblasti:</t>
  </si>
  <si>
    <t>Počet vysílačů  a přijímačů CO:</t>
  </si>
  <si>
    <t>Počet bezdrátových hlásičů:</t>
  </si>
  <si>
    <t>Počet reproduktorů:</t>
  </si>
  <si>
    <t>Počet směrových antén:</t>
  </si>
  <si>
    <t>Průměrná rychlost na cestě k zákazníkovi:</t>
  </si>
  <si>
    <t>Průměrná rychlost přesunu při instalaci:</t>
  </si>
  <si>
    <t>Hodinová sazba montéra:</t>
  </si>
  <si>
    <t>Kilometrová sazba:</t>
  </si>
  <si>
    <t>Počet bytových přijímačů - s DIP přepínačem</t>
  </si>
  <si>
    <t>Počet bytových přijímačů - pájecí</t>
  </si>
  <si>
    <t>Instalace BH včetně napájení</t>
  </si>
  <si>
    <t>Instalace BH napájení zvlášť</t>
  </si>
  <si>
    <t>Instalace SW na stávající PC u zákazníka</t>
  </si>
  <si>
    <t>???</t>
  </si>
  <si>
    <t xml:space="preserve">Časové normování </t>
  </si>
  <si>
    <t>Celkem odpracováno - montér</t>
  </si>
  <si>
    <t>Celkem odpracováno - technik</t>
  </si>
  <si>
    <t>počet osob</t>
  </si>
  <si>
    <t>min/ks</t>
  </si>
  <si>
    <t>hod celkem</t>
  </si>
  <si>
    <t>km</t>
  </si>
  <si>
    <t>hod</t>
  </si>
  <si>
    <t>Seznámení s projektem</t>
  </si>
  <si>
    <t>Vyzvednutí materiálu ze skladu</t>
  </si>
  <si>
    <t>Instalace SW na PC, nastavení skupin podle projektu</t>
  </si>
  <si>
    <t>Nastavení řídicí skříně, kmitočet, výkon, skupiny podle projektu</t>
  </si>
  <si>
    <t>Nastavení hlasitosti BP, přepnutí skupiny a přezkoušení</t>
  </si>
  <si>
    <t>Nast. skupiny a hlasitosti BP, přezkoušení</t>
  </si>
  <si>
    <t>Nastavení BH podle projektu, zapsání výr. č. na disketu</t>
  </si>
  <si>
    <t>Doprava materiálu na stavbu</t>
  </si>
  <si>
    <t>Převzetí staveniště, poučení pracovníků</t>
  </si>
  <si>
    <t>Vykládka materiálu na stavbě</t>
  </si>
  <si>
    <t>Kompletace BH, držák, anténa</t>
  </si>
  <si>
    <t>Kompletace reproduktorů montáž držáku, likvidace obalu</t>
  </si>
  <si>
    <t>Vysílač</t>
  </si>
  <si>
    <t>Nakládka materiálu k montáži</t>
  </si>
  <si>
    <t>Doprava materiálu na místo montáže</t>
  </si>
  <si>
    <t>Příprava pracoviště k instalaci</t>
  </si>
  <si>
    <t>Instalace anténního systému, kabelu</t>
  </si>
  <si>
    <t xml:space="preserve">Instalace řídicí skříně a kabelového propojení s PC </t>
  </si>
  <si>
    <t xml:space="preserve">Likvidace pracoviště </t>
  </si>
  <si>
    <t>BH</t>
  </si>
  <si>
    <t>Nakládka materiálu k montáži 4 BH včetně napájení</t>
  </si>
  <si>
    <t>Doprava materiálu pro 4 BH na místo montáže</t>
  </si>
  <si>
    <t>Příprava pracoviště k instalace</t>
  </si>
  <si>
    <t xml:space="preserve"> </t>
  </si>
  <si>
    <t>Instalace BH a reproduktorů včetně napájení</t>
  </si>
  <si>
    <t xml:space="preserve">Likvidace instalačního pracoviště </t>
  </si>
  <si>
    <t>Návrat na základnu</t>
  </si>
  <si>
    <t>Nakládka materiálu k montáži napájení 5 bodů</t>
  </si>
  <si>
    <t>Doprava materiálu pro 5 bodů na místo montáže</t>
  </si>
  <si>
    <t>Vybudování napájení</t>
  </si>
  <si>
    <t>Nakládka materiálu k montáži 4 BH</t>
  </si>
  <si>
    <t>Instalace BH a reproduktorů</t>
  </si>
  <si>
    <t>Návrat montérů do sídla zhotovitele</t>
  </si>
  <si>
    <t>Opakování cesty na stavbu a zpět (počet týdnů)</t>
  </si>
  <si>
    <t>Doprava ved.stavby/ technika na stavbu</t>
  </si>
  <si>
    <t>Nastavení přijímačů při vysílání z úřadu</t>
  </si>
  <si>
    <t>Doprava ved.stavby/ technika ze stavby</t>
  </si>
  <si>
    <t>Opakování cesty techniků na stavbu a zpět (počet týdnů-1)</t>
  </si>
  <si>
    <t>Provedení revizní zprávy</t>
  </si>
  <si>
    <t>Doprava technika na stavbu pro doladění BP</t>
  </si>
  <si>
    <t>Nastavení BP v domácnostech u 15% dodaných</t>
  </si>
  <si>
    <t>Suma odpracovaných (hod,km)</t>
  </si>
  <si>
    <t>Suma spotřebovaných dnů</t>
  </si>
  <si>
    <t>Suma spotřebovaných týdnů</t>
  </si>
  <si>
    <t>Stavba bude trvat dnů</t>
  </si>
  <si>
    <t>Kalkulace projektu</t>
  </si>
  <si>
    <t>Datum zpracování :</t>
  </si>
  <si>
    <t>Verze kalkulace :</t>
  </si>
  <si>
    <t>Č.p.</t>
  </si>
  <si>
    <t>Označení</t>
  </si>
  <si>
    <t>Zkrácený název</t>
  </si>
  <si>
    <t>M.j.</t>
  </si>
  <si>
    <t>Poč.</t>
  </si>
  <si>
    <t>Jednot. náklad</t>
  </si>
  <si>
    <t>Celkový náklad</t>
  </si>
  <si>
    <t>Název projektu :</t>
  </si>
  <si>
    <t>VISO 2002 Prazdroj - realizace</t>
  </si>
  <si>
    <t>Číslo projektu :</t>
  </si>
  <si>
    <t>V-1183.1705</t>
  </si>
  <si>
    <t>Termín zahájení :</t>
  </si>
  <si>
    <t>XX.XX. 2002</t>
  </si>
  <si>
    <t>Termín ukončení :</t>
  </si>
  <si>
    <t>Zpracoval :</t>
  </si>
  <si>
    <t>Ing. Knecht</t>
  </si>
  <si>
    <t>Montážní práce :</t>
  </si>
  <si>
    <t>Projektový manažer :</t>
  </si>
  <si>
    <t>Počet hodin PM</t>
  </si>
  <si>
    <t>pojišť.</t>
  </si>
  <si>
    <t>Obchodní manažer :</t>
  </si>
  <si>
    <t>Počet hodin OM</t>
  </si>
  <si>
    <t>Pracovníci (mechanici) :</t>
  </si>
  <si>
    <t>Počet hodin montéra</t>
  </si>
  <si>
    <t>Pracovníci (technici) :</t>
  </si>
  <si>
    <t>Mzdové náklady celkem :</t>
  </si>
  <si>
    <t>Doprava osob a materiálu :</t>
  </si>
  <si>
    <t>Ford Transit 100</t>
  </si>
  <si>
    <t>Šedivý</t>
  </si>
  <si>
    <t>den</t>
  </si>
  <si>
    <t>Š Felicia Van Plus</t>
  </si>
  <si>
    <t>Hruška</t>
  </si>
  <si>
    <t>Š 1203 com</t>
  </si>
  <si>
    <t>Vícha, Ambrož</t>
  </si>
  <si>
    <t>Š 1203 mikro</t>
  </si>
  <si>
    <t>Černý, Teplý</t>
  </si>
  <si>
    <t>Š 135 Forman</t>
  </si>
  <si>
    <t>Dlabal, Šebesta</t>
  </si>
  <si>
    <t>Š Felicia B</t>
  </si>
  <si>
    <t>Král, Panc</t>
  </si>
  <si>
    <t>Š Felicia com B</t>
  </si>
  <si>
    <t>Chytil, Ptáček, Kaňkovský, Knecht</t>
  </si>
  <si>
    <t>Š Felicia com D</t>
  </si>
  <si>
    <t>Těšínský, Valenta, Spěváček, Ramba, Bis</t>
  </si>
  <si>
    <t>Š Forman plus</t>
  </si>
  <si>
    <t>Bureš Jiří, Klvaňa Jiří</t>
  </si>
  <si>
    <t>Š Octavia</t>
  </si>
  <si>
    <t>Kýna</t>
  </si>
  <si>
    <t>VW com</t>
  </si>
  <si>
    <t>Vohlídal</t>
  </si>
  <si>
    <t>Soukromé vozidla :</t>
  </si>
  <si>
    <t>----</t>
  </si>
  <si>
    <t>Soukromé vozidlo s spotřebou 6l/100km</t>
  </si>
  <si>
    <t>Soukromé vozidlo s spotřebou 8l/100km</t>
  </si>
  <si>
    <t>Soukromé vozidlo s spotřebou 10l/100km</t>
  </si>
  <si>
    <t>Dopravné náklady celkem :</t>
  </si>
  <si>
    <t>Ubytování :</t>
  </si>
  <si>
    <t>Cena ubytování I</t>
  </si>
  <si>
    <t>os.</t>
  </si>
  <si>
    <t>Cena ubytování II</t>
  </si>
  <si>
    <t>Cena ubytování III</t>
  </si>
  <si>
    <t>Cena ubytování IV</t>
  </si>
  <si>
    <t>Cestovné (stravné) :</t>
  </si>
  <si>
    <t>Cena ubytování I (5-12hod)</t>
  </si>
  <si>
    <t>Cena ubytování II (12-18hod)</t>
  </si>
  <si>
    <t>Cena ubytování III (nad 18hod)</t>
  </si>
  <si>
    <t>Diety (paušál):</t>
  </si>
  <si>
    <t>S použitím veřejné dopravy</t>
  </si>
  <si>
    <t>Vzdálenost 51-100km</t>
  </si>
  <si>
    <t>Vzdálenost 101-200km</t>
  </si>
  <si>
    <t>Vzdálenost 201-400km</t>
  </si>
  <si>
    <t>Bez použití veřejné dopravy</t>
  </si>
  <si>
    <t>Ubytování a cestovné náklady celkem :</t>
  </si>
  <si>
    <t>Zařízení a materiál :</t>
  </si>
  <si>
    <t>Zařízení VISO</t>
  </si>
  <si>
    <t>Montážní materiál (5% ceny dodávaného zařízení)</t>
  </si>
  <si>
    <t>Ostatní</t>
  </si>
  <si>
    <t>Zařízení a materiál celkem :</t>
  </si>
  <si>
    <t>Subdodávky</t>
  </si>
  <si>
    <t>interní</t>
  </si>
  <si>
    <t>externí</t>
  </si>
  <si>
    <t>PPD</t>
  </si>
  <si>
    <t>Instalační práce</t>
  </si>
  <si>
    <t>Zařízení a materiál</t>
  </si>
  <si>
    <t>Inženýring</t>
  </si>
  <si>
    <t>Subdodávky celkem :</t>
  </si>
  <si>
    <t>Rekapitulace</t>
  </si>
  <si>
    <t>Mzdové průměrné měsíční přímé náklady 1610</t>
  </si>
  <si>
    <t>měs.</t>
  </si>
  <si>
    <t>01-03</t>
  </si>
  <si>
    <t>Výrobní průměrné měsíční nepřímé náklady 1610</t>
  </si>
  <si>
    <t>(SAP)</t>
  </si>
  <si>
    <t>Mzdové průměrné měsíční náklady PM</t>
  </si>
  <si>
    <t>Výrobní nepřímé náklady projektového manažera</t>
  </si>
  <si>
    <t>Provozní výnosy celkem (smluvní cena bez DPH)</t>
  </si>
  <si>
    <t>Přímé náklady celkem</t>
  </si>
  <si>
    <t>KP I :</t>
  </si>
  <si>
    <t>%</t>
  </si>
  <si>
    <t>Výrobní nepřímé náklady 1610 rozpuštěné přes mzdy</t>
  </si>
  <si>
    <t>Výrobní nepřímé náklady PM rozpuštěné přes mzdy</t>
  </si>
  <si>
    <t>Výrobní režie 1610 + PM celkem :</t>
  </si>
  <si>
    <t>KP II :</t>
  </si>
  <si>
    <t xml:space="preserve">Tlakový reproduktor - 15 W 8 Ohm </t>
  </si>
  <si>
    <t>Přijímací anténa všesměrová (v pásmu 80MHz) 1m koax. přívod BNC</t>
  </si>
  <si>
    <t>Kusů</t>
  </si>
  <si>
    <t>Cena celkem bez DPH</t>
  </si>
  <si>
    <t>Školení</t>
  </si>
  <si>
    <t>Cena celkem</t>
  </si>
  <si>
    <t>DPH</t>
  </si>
  <si>
    <t xml:space="preserve">Koncové prvky </t>
  </si>
  <si>
    <t>Celkem SW + HW</t>
  </si>
  <si>
    <t>Název části systému VIS</t>
  </si>
  <si>
    <t>Bezdrátový hlásič VIS 2 x 40W, obousměrný pásmo MB,</t>
  </si>
  <si>
    <t>Třinec</t>
  </si>
  <si>
    <t>Celkem KP</t>
  </si>
  <si>
    <t>Montáž bezdrátového hlásiče</t>
  </si>
  <si>
    <t>Oživení bezdrátového hlásiče</t>
  </si>
  <si>
    <t>Elektrická revize</t>
  </si>
  <si>
    <r>
      <rPr>
        <sz val="10"/>
        <rFont val="Arial CE"/>
        <family val="2"/>
        <charset val="238"/>
      </rPr>
      <t xml:space="preserve">Upgrad </t>
    </r>
    <r>
      <rPr>
        <sz val="10"/>
        <rFont val="Arial CE"/>
        <family val="2"/>
        <charset val="238"/>
      </rPr>
      <t>Serverová aplikace</t>
    </r>
  </si>
  <si>
    <r>
      <rPr>
        <sz val="10"/>
        <rFont val="Arial CE"/>
        <family val="2"/>
        <charset val="238"/>
      </rPr>
      <t xml:space="preserve">Upgrade </t>
    </r>
    <r>
      <rPr>
        <sz val="10"/>
        <rFont val="Arial CE"/>
        <family val="2"/>
        <charset val="238"/>
      </rPr>
      <t>Sofwarová aplikace Klient</t>
    </r>
  </si>
  <si>
    <r>
      <rPr>
        <sz val="10"/>
        <rFont val="Arial CE"/>
        <family val="2"/>
        <charset val="238"/>
      </rPr>
      <t xml:space="preserve">Upgrade </t>
    </r>
    <r>
      <rPr>
        <sz val="10"/>
        <rFont val="Arial CE"/>
        <family val="2"/>
        <charset val="238"/>
      </rPr>
      <t>Webový server</t>
    </r>
  </si>
  <si>
    <t>Instalace Upgrade</t>
  </si>
  <si>
    <t>Záložní zdroj</t>
  </si>
  <si>
    <t>Elektrocentrála</t>
  </si>
  <si>
    <t>Celkem Záložní zdroj</t>
  </si>
  <si>
    <r>
      <t>Řídící</t>
    </r>
    <r>
      <rPr>
        <b/>
        <sz val="10"/>
        <rFont val="Arial CE"/>
        <family val="2"/>
        <charset val="238"/>
      </rPr>
      <t xml:space="preserve"> pracoviště</t>
    </r>
  </si>
  <si>
    <t>Anténa 160 MHz</t>
  </si>
  <si>
    <t>Mobilní termínal pro vstup do VIS v pásmu 160 MHz</t>
  </si>
  <si>
    <t>Úprava firmware pro prostup z HZS</t>
  </si>
  <si>
    <t>Prostup do řídícího pracoviště  z mobilního terminálu  HZS v pásmu 160 MHz</t>
  </si>
  <si>
    <t>Výkaz Výměr VIS Králův Dvůr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</si>
</sst>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&quot; Kč&quot;"/>
    <numFmt numFmtId="165" formatCode="#,##0.0"/>
    <numFmt numFmtId="166" formatCode="0.0"/>
    <numFmt numFmtId="167" formatCode="#,##0\ &quot;Kč&quot;"/>
    <numFmt numFmtId="168" formatCode="#,##0.00&quot; Kč&quot;"/>
  </numFmts>
  <fonts count="34" x14ac:knownFonts="1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i/>
      <sz val="12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0"/>
      <color indexed="12"/>
      <name val="Arial CE"/>
      <charset val="238"/>
    </font>
    <font>
      <b/>
      <sz val="12"/>
      <color indexed="10"/>
      <name val="Arial CE"/>
      <charset val="238"/>
    </font>
    <font>
      <sz val="10"/>
      <color indexed="10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0" fontId="21" fillId="0" borderId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340">
    <xf numFmtId="0" fontId="0" fillId="0" borderId="0" xfId="0"/>
    <xf numFmtId="3" fontId="0" fillId="0" borderId="0" xfId="0" applyNumberFormat="1"/>
    <xf numFmtId="9" fontId="0" fillId="0" borderId="0" xfId="0" applyNumberFormat="1"/>
    <xf numFmtId="3" fontId="0" fillId="0" borderId="0" xfId="0" applyNumberFormat="1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Alignment="1">
      <alignment horizontal="center"/>
    </xf>
    <xf numFmtId="3" fontId="0" fillId="0" borderId="0" xfId="0" applyNumberFormat="1" applyFill="1"/>
    <xf numFmtId="0" fontId="3" fillId="0" borderId="0" xfId="0" applyFont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2" xfId="0" applyFont="1" applyBorder="1"/>
    <xf numFmtId="0" fontId="3" fillId="0" borderId="0" xfId="0" applyFont="1" applyBorder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6" xfId="0" applyFill="1" applyBorder="1"/>
    <xf numFmtId="0" fontId="0" fillId="5" borderId="5" xfId="0" applyFont="1" applyFill="1" applyBorder="1" applyAlignment="1">
      <alignment horizontal="center"/>
    </xf>
    <xf numFmtId="0" fontId="0" fillId="0" borderId="10" xfId="0" applyFont="1" applyBorder="1"/>
    <xf numFmtId="0" fontId="0" fillId="2" borderId="11" xfId="0" applyFill="1" applyBorder="1"/>
    <xf numFmtId="4" fontId="0" fillId="0" borderId="0" xfId="0" applyNumberFormat="1" applyBorder="1"/>
    <xf numFmtId="0" fontId="0" fillId="0" borderId="12" xfId="0" applyBorder="1"/>
    <xf numFmtId="165" fontId="0" fillId="0" borderId="11" xfId="0" applyNumberFormat="1" applyBorder="1"/>
    <xf numFmtId="165" fontId="0" fillId="0" borderId="1" xfId="0" applyNumberFormat="1" applyBorder="1"/>
    <xf numFmtId="165" fontId="0" fillId="0" borderId="0" xfId="0" applyNumberFormat="1" applyBorder="1"/>
    <xf numFmtId="0" fontId="0" fillId="0" borderId="11" xfId="0" applyFill="1" applyBorder="1"/>
    <xf numFmtId="166" fontId="0" fillId="0" borderId="0" xfId="0" applyNumberFormat="1" applyBorder="1"/>
    <xf numFmtId="0" fontId="0" fillId="0" borderId="13" xfId="0" applyFont="1" applyBorder="1"/>
    <xf numFmtId="0" fontId="0" fillId="0" borderId="14" xfId="0" applyBorder="1"/>
    <xf numFmtId="0" fontId="0" fillId="3" borderId="15" xfId="0" applyFill="1" applyBorder="1"/>
    <xf numFmtId="0" fontId="0" fillId="0" borderId="16" xfId="0" applyBorder="1"/>
    <xf numFmtId="165" fontId="0" fillId="0" borderId="15" xfId="0" applyNumberFormat="1" applyBorder="1"/>
    <xf numFmtId="165" fontId="0" fillId="0" borderId="17" xfId="0" applyNumberFormat="1" applyBorder="1"/>
    <xf numFmtId="165" fontId="0" fillId="0" borderId="14" xfId="0" applyNumberFormat="1" applyBorder="1"/>
    <xf numFmtId="3" fontId="0" fillId="0" borderId="14" xfId="0" applyNumberFormat="1" applyBorder="1"/>
    <xf numFmtId="4" fontId="0" fillId="0" borderId="14" xfId="0" applyNumberFormat="1" applyBorder="1"/>
    <xf numFmtId="165" fontId="0" fillId="0" borderId="11" xfId="0" applyNumberFormat="1" applyFill="1" applyBorder="1"/>
    <xf numFmtId="165" fontId="0" fillId="0" borderId="1" xfId="0" applyNumberFormat="1" applyFill="1" applyBorder="1"/>
    <xf numFmtId="165" fontId="0" fillId="0" borderId="0" xfId="0" applyNumberFormat="1" applyFill="1" applyBorder="1"/>
    <xf numFmtId="165" fontId="0" fillId="0" borderId="12" xfId="0" applyNumberFormat="1" applyBorder="1"/>
    <xf numFmtId="166" fontId="0" fillId="0" borderId="12" xfId="0" applyNumberFormat="1" applyBorder="1"/>
    <xf numFmtId="166" fontId="0" fillId="0" borderId="16" xfId="0" applyNumberFormat="1" applyBorder="1"/>
    <xf numFmtId="165" fontId="0" fillId="0" borderId="15" xfId="0" applyNumberFormat="1" applyFill="1" applyBorder="1"/>
    <xf numFmtId="0" fontId="0" fillId="0" borderId="18" xfId="0" applyFont="1" applyBorder="1"/>
    <xf numFmtId="0" fontId="0" fillId="0" borderId="19" xfId="0" applyBorder="1"/>
    <xf numFmtId="0" fontId="0" fillId="0" borderId="20" xfId="0" applyBorder="1"/>
    <xf numFmtId="165" fontId="0" fillId="0" borderId="21" xfId="0" applyNumberFormat="1" applyBorder="1"/>
    <xf numFmtId="165" fontId="0" fillId="0" borderId="22" xfId="0" applyNumberFormat="1" applyBorder="1"/>
    <xf numFmtId="165" fontId="0" fillId="0" borderId="19" xfId="0" applyNumberFormat="1" applyBorder="1"/>
    <xf numFmtId="0" fontId="0" fillId="0" borderId="21" xfId="0" applyBorder="1"/>
    <xf numFmtId="165" fontId="0" fillId="3" borderId="19" xfId="0" applyNumberFormat="1" applyFill="1" applyBorder="1"/>
    <xf numFmtId="166" fontId="0" fillId="0" borderId="19" xfId="0" applyNumberFormat="1" applyBorder="1"/>
    <xf numFmtId="3" fontId="0" fillId="2" borderId="14" xfId="0" applyNumberFormat="1" applyFill="1" applyBorder="1"/>
    <xf numFmtId="0" fontId="0" fillId="0" borderId="15" xfId="0" applyFill="1" applyBorder="1"/>
    <xf numFmtId="0" fontId="1" fillId="0" borderId="0" xfId="0" applyFont="1"/>
    <xf numFmtId="0" fontId="1" fillId="0" borderId="9" xfId="0" applyFont="1" applyBorder="1"/>
    <xf numFmtId="0" fontId="1" fillId="0" borderId="6" xfId="0" applyFont="1" applyBorder="1"/>
    <xf numFmtId="4" fontId="6" fillId="0" borderId="6" xfId="0" applyNumberFormat="1" applyFont="1" applyBorder="1"/>
    <xf numFmtId="3" fontId="6" fillId="0" borderId="8" xfId="0" applyNumberFormat="1" applyFont="1" applyBorder="1"/>
    <xf numFmtId="3" fontId="6" fillId="0" borderId="6" xfId="0" applyNumberFormat="1" applyFont="1" applyBorder="1"/>
    <xf numFmtId="0" fontId="4" fillId="0" borderId="0" xfId="1" applyFont="1" applyFill="1" applyProtection="1"/>
    <xf numFmtId="1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right"/>
    </xf>
    <xf numFmtId="4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left" vertical="top" wrapText="1"/>
    </xf>
    <xf numFmtId="1" fontId="12" fillId="0" borderId="0" xfId="1" applyNumberFormat="1" applyFont="1" applyFill="1" applyBorder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14" fontId="13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center" vertical="top"/>
    </xf>
    <xf numFmtId="4" fontId="14" fillId="0" borderId="0" xfId="1" applyNumberFormat="1" applyFont="1" applyFill="1" applyBorder="1" applyAlignment="1" applyProtection="1">
      <alignment horizontal="left" vertical="top"/>
    </xf>
    <xf numFmtId="4" fontId="12" fillId="0" borderId="0" xfId="1" applyNumberFormat="1" applyFont="1" applyFill="1" applyBorder="1" applyAlignment="1" applyProtection="1">
      <alignment horizontal="right" vertical="top"/>
    </xf>
    <xf numFmtId="1" fontId="13" fillId="0" borderId="0" xfId="1" applyNumberFormat="1" applyFont="1" applyFill="1" applyAlignment="1" applyProtection="1">
      <alignment horizontal="center" vertical="top"/>
      <protection locked="0"/>
    </xf>
    <xf numFmtId="0" fontId="14" fillId="6" borderId="23" xfId="1" applyFont="1" applyFill="1" applyBorder="1" applyAlignment="1" applyProtection="1">
      <alignment horizontal="center" wrapText="1"/>
    </xf>
    <xf numFmtId="4" fontId="14" fillId="6" borderId="23" xfId="1" applyNumberFormat="1" applyFont="1" applyFill="1" applyBorder="1" applyAlignment="1" applyProtection="1">
      <alignment horizontal="center" wrapText="1"/>
    </xf>
    <xf numFmtId="0" fontId="4" fillId="0" borderId="0" xfId="1" applyFont="1" applyFill="1" applyAlignment="1" applyProtection="1">
      <alignment wrapText="1"/>
    </xf>
    <xf numFmtId="49" fontId="14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right"/>
    </xf>
    <xf numFmtId="4" fontId="14" fillId="0" borderId="0" xfId="1" applyNumberFormat="1" applyFont="1" applyFill="1" applyBorder="1" applyAlignment="1" applyProtection="1">
      <alignment horizontal="center"/>
    </xf>
    <xf numFmtId="1" fontId="15" fillId="0" borderId="0" xfId="1" applyNumberFormat="1" applyFont="1" applyFill="1" applyBorder="1" applyAlignment="1" applyProtection="1">
      <alignment horizontal="left" vertical="top"/>
    </xf>
    <xf numFmtId="49" fontId="14" fillId="0" borderId="0" xfId="1" applyNumberFormat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horizontal="left" vertical="top"/>
      <protection locked="0"/>
    </xf>
    <xf numFmtId="49" fontId="14" fillId="0" borderId="0" xfId="1" applyNumberFormat="1" applyFont="1" applyFill="1" applyBorder="1" applyAlignment="1" applyProtection="1">
      <alignment horizontal="center" vertical="top" wrapText="1"/>
    </xf>
    <xf numFmtId="1" fontId="14" fillId="0" borderId="0" xfId="1" applyNumberFormat="1" applyFont="1" applyFill="1" applyBorder="1" applyAlignment="1" applyProtection="1">
      <alignment horizontal="right" vertical="top" wrapText="1"/>
    </xf>
    <xf numFmtId="4" fontId="14" fillId="0" borderId="0" xfId="1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14" fontId="13" fillId="0" borderId="0" xfId="1" applyNumberFormat="1" applyFont="1" applyFill="1" applyBorder="1" applyAlignment="1" applyProtection="1">
      <alignment horizontal="left" vertical="top" wrapText="1"/>
      <protection locked="0"/>
    </xf>
    <xf numFmtId="1" fontId="11" fillId="0" borderId="0" xfId="1" applyNumberFormat="1" applyFont="1" applyFill="1" applyBorder="1" applyAlignment="1" applyProtection="1">
      <alignment horizontal="left" vertical="top"/>
    </xf>
    <xf numFmtId="49" fontId="16" fillId="0" borderId="0" xfId="1" applyNumberFormat="1" applyFont="1" applyFill="1" applyBorder="1" applyAlignment="1" applyProtection="1">
      <alignment horizontal="left" vertical="top" wrapText="1"/>
    </xf>
    <xf numFmtId="49" fontId="17" fillId="0" borderId="24" xfId="1" applyNumberFormat="1" applyFont="1" applyFill="1" applyBorder="1" applyProtection="1"/>
    <xf numFmtId="49" fontId="0" fillId="0" borderId="24" xfId="1" applyNumberFormat="1" applyFont="1" applyBorder="1" applyAlignment="1" applyProtection="1">
      <alignment horizontal="right"/>
    </xf>
    <xf numFmtId="166" fontId="0" fillId="0" borderId="24" xfId="1" applyNumberFormat="1" applyFont="1" applyBorder="1" applyAlignment="1" applyProtection="1">
      <alignment horizontal="center"/>
    </xf>
    <xf numFmtId="0" fontId="0" fillId="0" borderId="24" xfId="1" applyFont="1" applyBorder="1" applyProtection="1"/>
    <xf numFmtId="0" fontId="0" fillId="0" borderId="24" xfId="1" applyFont="1" applyBorder="1" applyAlignment="1" applyProtection="1">
      <alignment horizontal="center"/>
    </xf>
    <xf numFmtId="0" fontId="0" fillId="0" borderId="24" xfId="1" applyFont="1" applyFill="1" applyBorder="1" applyAlignment="1" applyProtection="1">
      <alignment horizontal="right"/>
    </xf>
    <xf numFmtId="4" fontId="0" fillId="0" borderId="24" xfId="1" applyNumberFormat="1" applyFont="1" applyFill="1" applyBorder="1" applyProtection="1"/>
    <xf numFmtId="4" fontId="0" fillId="0" borderId="0" xfId="1" applyNumberFormat="1" applyFont="1" applyFill="1" applyBorder="1" applyAlignment="1" applyProtection="1">
      <alignment horizontal="right"/>
    </xf>
    <xf numFmtId="0" fontId="0" fillId="0" borderId="0" xfId="1" applyFont="1" applyProtection="1"/>
    <xf numFmtId="49" fontId="17" fillId="0" borderId="0" xfId="1" applyNumberFormat="1" applyFont="1" applyFill="1" applyBorder="1" applyProtection="1"/>
    <xf numFmtId="49" fontId="0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Border="1" applyAlignment="1" applyProtection="1">
      <alignment horizontal="center"/>
    </xf>
    <xf numFmtId="0" fontId="0" fillId="0" borderId="0" xfId="1" applyFont="1" applyBorder="1" applyProtection="1"/>
    <xf numFmtId="0" fontId="0" fillId="0" borderId="0" xfId="1" applyFon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Protection="1"/>
    <xf numFmtId="0" fontId="18" fillId="0" borderId="0" xfId="1" applyFont="1" applyFill="1" applyBorder="1" applyAlignment="1" applyProtection="1">
      <alignment horizontal="left"/>
    </xf>
    <xf numFmtId="0" fontId="0" fillId="0" borderId="0" xfId="1" applyFont="1" applyBorder="1" applyAlignment="1" applyProtection="1">
      <alignment horizontal="right"/>
    </xf>
    <xf numFmtId="49" fontId="2" fillId="0" borderId="0" xfId="1" applyNumberFormat="1" applyFont="1" applyBorder="1" applyProtection="1"/>
    <xf numFmtId="0" fontId="0" fillId="0" borderId="0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/>
    </xf>
    <xf numFmtId="0" fontId="0" fillId="0" borderId="25" xfId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center"/>
    </xf>
    <xf numFmtId="0" fontId="0" fillId="0" borderId="25" xfId="1" applyFont="1" applyBorder="1" applyProtection="1"/>
    <xf numFmtId="4" fontId="0" fillId="0" borderId="25" xfId="1" applyNumberFormat="1" applyFont="1" applyBorder="1" applyAlignment="1" applyProtection="1">
      <alignment horizontal="center"/>
    </xf>
    <xf numFmtId="0" fontId="8" fillId="0" borderId="25" xfId="1" applyFont="1" applyBorder="1" applyAlignment="1" applyProtection="1">
      <alignment horizontal="right"/>
      <protection locked="0"/>
    </xf>
    <xf numFmtId="4" fontId="19" fillId="0" borderId="25" xfId="1" applyNumberFormat="1" applyFont="1" applyBorder="1" applyProtection="1">
      <protection locked="0"/>
    </xf>
    <xf numFmtId="4" fontId="0" fillId="0" borderId="25" xfId="1" applyNumberFormat="1" applyFont="1" applyBorder="1" applyProtection="1"/>
    <xf numFmtId="4" fontId="0" fillId="0" borderId="25" xfId="1" applyNumberFormat="1" applyFont="1" applyFill="1" applyBorder="1" applyProtection="1"/>
    <xf numFmtId="0" fontId="8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Alignment="1" applyProtection="1">
      <alignment horizontal="center"/>
    </xf>
    <xf numFmtId="0" fontId="8" fillId="0" borderId="0" xfId="1" applyFont="1" applyBorder="1" applyAlignment="1" applyProtection="1">
      <alignment horizontal="right"/>
    </xf>
    <xf numFmtId="4" fontId="19" fillId="0" borderId="25" xfId="1" applyNumberFormat="1" applyFont="1" applyBorder="1" applyProtection="1"/>
    <xf numFmtId="4" fontId="0" fillId="0" borderId="0" xfId="1" applyNumberFormat="1" applyFont="1" applyBorder="1" applyAlignment="1" applyProtection="1">
      <alignment horizontal="center"/>
    </xf>
    <xf numFmtId="4" fontId="0" fillId="0" borderId="0" xfId="1" applyNumberFormat="1" applyFont="1" applyBorder="1" applyProtection="1"/>
    <xf numFmtId="0" fontId="5" fillId="0" borderId="21" xfId="1" applyFont="1" applyFill="1" applyBorder="1" applyAlignment="1" applyProtection="1">
      <alignment horizontal="left"/>
    </xf>
    <xf numFmtId="0" fontId="0" fillId="0" borderId="19" xfId="1" applyFont="1" applyBorder="1" applyAlignment="1" applyProtection="1">
      <alignment horizontal="center"/>
    </xf>
    <xf numFmtId="0" fontId="0" fillId="0" borderId="19" xfId="1" applyFont="1" applyBorder="1" applyProtection="1"/>
    <xf numFmtId="4" fontId="0" fillId="0" borderId="19" xfId="1" applyNumberFormat="1" applyFont="1" applyBorder="1" applyAlignment="1" applyProtection="1">
      <alignment horizontal="center"/>
    </xf>
    <xf numFmtId="0" fontId="8" fillId="0" borderId="19" xfId="1" applyFont="1" applyBorder="1" applyAlignment="1" applyProtection="1">
      <alignment horizontal="right"/>
    </xf>
    <xf numFmtId="4" fontId="0" fillId="0" borderId="19" xfId="1" applyNumberFormat="1" applyFont="1" applyBorder="1" applyProtection="1"/>
    <xf numFmtId="4" fontId="18" fillId="0" borderId="20" xfId="1" applyNumberFormat="1" applyFont="1" applyFill="1" applyBorder="1" applyProtection="1"/>
    <xf numFmtId="0" fontId="5" fillId="0" borderId="0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8" fillId="0" borderId="25" xfId="1" applyFont="1" applyBorder="1" applyProtection="1">
      <protection locked="0"/>
    </xf>
    <xf numFmtId="49" fontId="0" fillId="0" borderId="25" xfId="1" applyNumberFormat="1" applyFont="1" applyFill="1" applyBorder="1" applyProtection="1"/>
    <xf numFmtId="166" fontId="0" fillId="0" borderId="25" xfId="1" applyNumberFormat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left"/>
    </xf>
    <xf numFmtId="4" fontId="0" fillId="0" borderId="25" xfId="1" applyNumberFormat="1" applyFont="1" applyBorder="1" applyAlignment="1" applyProtection="1">
      <alignment horizontal="right"/>
    </xf>
    <xf numFmtId="0" fontId="18" fillId="0" borderId="0" xfId="1" applyFont="1" applyProtection="1"/>
    <xf numFmtId="0" fontId="0" fillId="0" borderId="21" xfId="1" applyFont="1" applyFill="1" applyBorder="1" applyAlignment="1" applyProtection="1">
      <alignment horizontal="center"/>
    </xf>
    <xf numFmtId="49" fontId="0" fillId="0" borderId="20" xfId="1" applyNumberFormat="1" applyFont="1" applyFill="1" applyBorder="1" applyProtection="1"/>
    <xf numFmtId="0" fontId="0" fillId="0" borderId="26" xfId="1" applyFont="1" applyBorder="1" applyAlignment="1" applyProtection="1">
      <alignment horizontal="center"/>
    </xf>
    <xf numFmtId="0" fontId="8" fillId="0" borderId="26" xfId="1" applyFont="1" applyBorder="1" applyProtection="1">
      <protection locked="0"/>
    </xf>
    <xf numFmtId="4" fontId="0" fillId="0" borderId="26" xfId="1" applyNumberFormat="1" applyFont="1" applyFill="1" applyBorder="1" applyProtection="1"/>
    <xf numFmtId="4" fontId="0" fillId="0" borderId="26" xfId="1" applyNumberFormat="1" applyFont="1" applyBorder="1" applyAlignment="1" applyProtection="1">
      <alignment horizontal="right"/>
    </xf>
    <xf numFmtId="49" fontId="5" fillId="0" borderId="25" xfId="1" applyNumberFormat="1" applyFont="1" applyBorder="1" applyProtection="1"/>
    <xf numFmtId="0" fontId="0" fillId="0" borderId="19" xfId="1" applyFont="1" applyFill="1" applyBorder="1" applyAlignment="1" applyProtection="1">
      <alignment horizontal="center"/>
    </xf>
    <xf numFmtId="4" fontId="0" fillId="0" borderId="20" xfId="1" applyNumberFormat="1" applyFont="1" applyFill="1" applyBorder="1" applyProtection="1"/>
    <xf numFmtId="0" fontId="0" fillId="0" borderId="27" xfId="1" applyFont="1" applyBorder="1" applyAlignment="1" applyProtection="1">
      <alignment horizontal="center"/>
    </xf>
    <xf numFmtId="0" fontId="8" fillId="0" borderId="27" xfId="1" applyFont="1" applyBorder="1" applyProtection="1">
      <protection locked="0"/>
    </xf>
    <xf numFmtId="4" fontId="0" fillId="0" borderId="27" xfId="1" applyNumberFormat="1" applyFont="1" applyFill="1" applyBorder="1" applyProtection="1"/>
    <xf numFmtId="0" fontId="0" fillId="0" borderId="27" xfId="1" applyFont="1" applyFill="1" applyBorder="1" applyAlignment="1" applyProtection="1">
      <alignment horizontal="center"/>
    </xf>
    <xf numFmtId="0" fontId="8" fillId="0" borderId="27" xfId="1" applyFont="1" applyFill="1" applyBorder="1" applyProtection="1">
      <protection locked="0"/>
    </xf>
    <xf numFmtId="4" fontId="8" fillId="0" borderId="27" xfId="1" applyNumberFormat="1" applyFont="1" applyFill="1" applyBorder="1" applyProtection="1">
      <protection locked="0"/>
    </xf>
    <xf numFmtId="0" fontId="8" fillId="0" borderId="25" xfId="1" applyFont="1" applyFill="1" applyBorder="1" applyProtection="1">
      <protection locked="0"/>
    </xf>
    <xf numFmtId="4" fontId="8" fillId="0" borderId="25" xfId="1" applyNumberFormat="1" applyFont="1" applyFill="1" applyBorder="1" applyProtection="1">
      <protection locked="0"/>
    </xf>
    <xf numFmtId="0" fontId="0" fillId="0" borderId="26" xfId="1" applyFont="1" applyFill="1" applyBorder="1" applyAlignment="1" applyProtection="1">
      <alignment horizontal="center"/>
    </xf>
    <xf numFmtId="0" fontId="8" fillId="0" borderId="26" xfId="1" applyFont="1" applyFill="1" applyBorder="1" applyProtection="1">
      <protection locked="0"/>
    </xf>
    <xf numFmtId="4" fontId="8" fillId="0" borderId="26" xfId="1" applyNumberFormat="1" applyFont="1" applyFill="1" applyBorder="1" applyProtection="1">
      <protection locked="0"/>
    </xf>
    <xf numFmtId="49" fontId="8" fillId="0" borderId="19" xfId="1" applyNumberFormat="1" applyFont="1" applyFill="1" applyBorder="1" applyAlignment="1" applyProtection="1">
      <alignment horizontal="center"/>
      <protection locked="0"/>
    </xf>
    <xf numFmtId="49" fontId="8" fillId="0" borderId="20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Border="1" applyProtection="1"/>
    <xf numFmtId="0" fontId="0" fillId="0" borderId="21" xfId="1" applyFont="1" applyBorder="1" applyAlignment="1" applyProtection="1">
      <alignment horizontal="center"/>
    </xf>
    <xf numFmtId="0" fontId="8" fillId="0" borderId="19" xfId="1" applyFont="1" applyBorder="1" applyProtection="1">
      <protection locked="0"/>
    </xf>
    <xf numFmtId="4" fontId="8" fillId="0" borderId="19" xfId="1" applyNumberFormat="1" applyFont="1" applyFill="1" applyBorder="1" applyProtection="1">
      <protection locked="0"/>
    </xf>
    <xf numFmtId="0" fontId="8" fillId="0" borderId="19" xfId="1" applyFont="1" applyFill="1" applyBorder="1" applyProtection="1">
      <protection locked="0"/>
    </xf>
    <xf numFmtId="0" fontId="0" fillId="0" borderId="0" xfId="1" applyFont="1" applyFill="1" applyBorder="1" applyProtection="1"/>
    <xf numFmtId="4" fontId="7" fillId="0" borderId="0" xfId="1" applyNumberFormat="1" applyFont="1" applyFill="1" applyBorder="1" applyProtection="1"/>
    <xf numFmtId="4" fontId="8" fillId="7" borderId="20" xfId="1" applyNumberFormat="1" applyFont="1" applyFill="1" applyBorder="1" applyProtection="1"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0" fillId="7" borderId="21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/>
    <xf numFmtId="49" fontId="0" fillId="0" borderId="21" xfId="1" applyNumberFormat="1" applyFont="1" applyFill="1" applyBorder="1" applyAlignment="1" applyProtection="1">
      <alignment horizontal="left"/>
    </xf>
    <xf numFmtId="49" fontId="0" fillId="0" borderId="19" xfId="1" applyNumberFormat="1" applyFont="1" applyFill="1" applyBorder="1" applyAlignment="1" applyProtection="1">
      <alignment horizontal="left"/>
    </xf>
    <xf numFmtId="49" fontId="0" fillId="0" borderId="20" xfId="1" applyNumberFormat="1" applyFont="1" applyFill="1" applyBorder="1" applyAlignment="1" applyProtection="1">
      <alignment horizontal="center"/>
    </xf>
    <xf numFmtId="4" fontId="0" fillId="0" borderId="20" xfId="1" applyNumberFormat="1" applyFont="1" applyFill="1" applyBorder="1" applyAlignment="1" applyProtection="1">
      <protection hidden="1"/>
    </xf>
    <xf numFmtId="49" fontId="0" fillId="0" borderId="19" xfId="1" applyNumberFormat="1" applyFont="1" applyFill="1" applyBorder="1" applyAlignment="1" applyProtection="1">
      <alignment horizontal="center"/>
    </xf>
    <xf numFmtId="4" fontId="19" fillId="0" borderId="20" xfId="1" applyNumberFormat="1" applyFont="1" applyFill="1" applyBorder="1" applyAlignment="1" applyProtection="1">
      <protection locked="0"/>
    </xf>
    <xf numFmtId="4" fontId="0" fillId="0" borderId="20" xfId="1" applyNumberFormat="1" applyFont="1" applyFill="1" applyBorder="1" applyAlignment="1" applyProtection="1"/>
    <xf numFmtId="49" fontId="0" fillId="0" borderId="28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center"/>
    </xf>
    <xf numFmtId="4" fontId="19" fillId="0" borderId="29" xfId="1" applyNumberFormat="1" applyFont="1" applyFill="1" applyBorder="1" applyAlignment="1" applyProtection="1">
      <protection locked="0"/>
    </xf>
    <xf numFmtId="0" fontId="0" fillId="0" borderId="26" xfId="1" applyFont="1" applyBorder="1" applyProtection="1"/>
    <xf numFmtId="0" fontId="0" fillId="0" borderId="19" xfId="1" applyFont="1" applyFill="1" applyBorder="1" applyAlignment="1" applyProtection="1">
      <alignment horizontal="left"/>
    </xf>
    <xf numFmtId="4" fontId="0" fillId="0" borderId="19" xfId="1" applyNumberFormat="1" applyFont="1" applyFill="1" applyBorder="1" applyAlignment="1" applyProtection="1"/>
    <xf numFmtId="0" fontId="0" fillId="0" borderId="20" xfId="1" applyFont="1" applyFill="1" applyBorder="1" applyProtection="1"/>
    <xf numFmtId="49" fontId="0" fillId="0" borderId="15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center"/>
    </xf>
    <xf numFmtId="49" fontId="0" fillId="0" borderId="14" xfId="1" applyNumberFormat="1" applyFont="1" applyFill="1" applyBorder="1" applyAlignment="1" applyProtection="1">
      <alignment horizontal="right"/>
    </xf>
    <xf numFmtId="4" fontId="8" fillId="0" borderId="16" xfId="1" applyNumberFormat="1" applyFont="1" applyFill="1" applyBorder="1" applyAlignment="1" applyProtection="1">
      <alignment horizontal="right"/>
    </xf>
    <xf numFmtId="4" fontId="8" fillId="7" borderId="16" xfId="1" applyNumberFormat="1" applyFont="1" applyFill="1" applyBorder="1" applyProtection="1">
      <protection locked="0"/>
    </xf>
    <xf numFmtId="49" fontId="0" fillId="0" borderId="20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>
      <protection hidden="1"/>
    </xf>
    <xf numFmtId="166" fontId="2" fillId="0" borderId="20" xfId="1" applyNumberFormat="1" applyFont="1" applyBorder="1" applyAlignment="1" applyProtection="1">
      <alignment horizontal="center"/>
      <protection hidden="1"/>
    </xf>
    <xf numFmtId="4" fontId="18" fillId="0" borderId="25" xfId="1" applyNumberFormat="1" applyFont="1" applyFill="1" applyBorder="1" applyProtection="1"/>
    <xf numFmtId="4" fontId="0" fillId="0" borderId="25" xfId="1" applyNumberFormat="1" applyFont="1" applyBorder="1" applyProtection="1">
      <protection hidden="1"/>
    </xf>
    <xf numFmtId="4" fontId="0" fillId="0" borderId="29" xfId="1" applyNumberFormat="1" applyFont="1" applyFill="1" applyBorder="1" applyAlignment="1" applyProtection="1"/>
    <xf numFmtId="4" fontId="18" fillId="0" borderId="26" xfId="1" applyNumberFormat="1" applyFont="1" applyBorder="1" applyProtection="1">
      <protection hidden="1"/>
    </xf>
    <xf numFmtId="0" fontId="18" fillId="0" borderId="30" xfId="1" applyFont="1" applyFill="1" applyBorder="1" applyAlignment="1" applyProtection="1">
      <alignment horizontal="left"/>
    </xf>
    <xf numFmtId="0" fontId="2" fillId="0" borderId="31" xfId="1" applyFont="1" applyBorder="1" applyAlignment="1" applyProtection="1">
      <alignment horizontal="center"/>
    </xf>
    <xf numFmtId="0" fontId="2" fillId="0" borderId="31" xfId="1" applyFont="1" applyBorder="1" applyProtection="1"/>
    <xf numFmtId="4" fontId="2" fillId="0" borderId="31" xfId="1" applyNumberFormat="1" applyFont="1" applyBorder="1" applyAlignment="1" applyProtection="1">
      <alignment horizontal="center"/>
    </xf>
    <xf numFmtId="0" fontId="20" fillId="0" borderId="31" xfId="1" applyFont="1" applyBorder="1" applyAlignment="1" applyProtection="1">
      <alignment horizontal="right"/>
    </xf>
    <xf numFmtId="4" fontId="2" fillId="0" borderId="31" xfId="1" applyNumberFormat="1" applyFont="1" applyBorder="1" applyProtection="1"/>
    <xf numFmtId="0" fontId="2" fillId="0" borderId="30" xfId="1" applyFont="1" applyBorder="1" applyAlignment="1" applyProtection="1">
      <alignment horizontal="center"/>
    </xf>
    <xf numFmtId="166" fontId="2" fillId="0" borderId="32" xfId="1" applyNumberFormat="1" applyFont="1" applyBorder="1" applyAlignment="1" applyProtection="1">
      <alignment horizontal="center"/>
      <protection hidden="1"/>
    </xf>
    <xf numFmtId="4" fontId="18" fillId="0" borderId="33" xfId="1" applyNumberFormat="1" applyFont="1" applyFill="1" applyBorder="1" applyProtection="1"/>
    <xf numFmtId="3" fontId="0" fillId="0" borderId="0" xfId="0" applyNumberFormat="1" applyAlignment="1">
      <alignment horizontal="right" vertical="center" indent="2"/>
    </xf>
    <xf numFmtId="3" fontId="0" fillId="0" borderId="0" xfId="0" applyNumberFormat="1" applyAlignment="1">
      <alignment vertical="top"/>
    </xf>
    <xf numFmtId="3" fontId="0" fillId="0" borderId="0" xfId="0" applyNumberFormat="1" applyFill="1" applyAlignment="1">
      <alignment vertical="top"/>
    </xf>
    <xf numFmtId="3" fontId="23" fillId="0" borderId="0" xfId="0" applyNumberFormat="1" applyFont="1" applyAlignment="1">
      <alignment vertical="top"/>
    </xf>
    <xf numFmtId="3" fontId="2" fillId="0" borderId="34" xfId="0" applyNumberFormat="1" applyFont="1" applyBorder="1" applyAlignment="1">
      <alignment horizontal="center" vertical="center" wrapText="1"/>
    </xf>
    <xf numFmtId="3" fontId="24" fillId="0" borderId="34" xfId="0" applyNumberFormat="1" applyFont="1" applyBorder="1" applyAlignment="1">
      <alignment horizontal="center" vertical="center"/>
    </xf>
    <xf numFmtId="3" fontId="24" fillId="0" borderId="34" xfId="0" applyNumberFormat="1" applyFont="1" applyFill="1" applyBorder="1" applyAlignment="1">
      <alignment horizontal="center" vertical="center" wrapText="1"/>
    </xf>
    <xf numFmtId="9" fontId="24" fillId="0" borderId="34" xfId="0" applyNumberFormat="1" applyFont="1" applyFill="1" applyBorder="1" applyAlignment="1">
      <alignment horizontal="center" vertical="center"/>
    </xf>
    <xf numFmtId="3" fontId="24" fillId="0" borderId="34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167" fontId="0" fillId="0" borderId="0" xfId="0" applyNumberFormat="1" applyBorder="1" applyAlignment="1">
      <alignment horizontal="right" vertical="center"/>
    </xf>
    <xf numFmtId="167" fontId="0" fillId="0" borderId="0" xfId="0" applyNumberFormat="1" applyFill="1" applyBorder="1" applyAlignment="1">
      <alignment horizontal="right" vertical="center"/>
    </xf>
    <xf numFmtId="167" fontId="26" fillId="0" borderId="0" xfId="0" applyNumberFormat="1" applyFont="1" applyFill="1" applyBorder="1" applyAlignment="1">
      <alignment horizontal="right" vertical="center"/>
    </xf>
    <xf numFmtId="167" fontId="24" fillId="0" borderId="0" xfId="0" applyNumberFormat="1" applyFont="1" applyFill="1" applyBorder="1" applyAlignment="1">
      <alignment horizontal="right"/>
    </xf>
    <xf numFmtId="167" fontId="26" fillId="0" borderId="34" xfId="0" applyNumberFormat="1" applyFont="1" applyBorder="1" applyAlignment="1">
      <alignment vertical="center"/>
    </xf>
    <xf numFmtId="167" fontId="26" fillId="0" borderId="0" xfId="0" applyNumberFormat="1" applyFont="1" applyFill="1" applyBorder="1" applyAlignment="1">
      <alignment horizontal="right"/>
    </xf>
    <xf numFmtId="3" fontId="0" fillId="0" borderId="0" xfId="0" applyNumberFormat="1" applyBorder="1" applyAlignment="1">
      <alignment horizontal="right" vertical="center" indent="2"/>
    </xf>
    <xf numFmtId="9" fontId="0" fillId="0" borderId="0" xfId="0" applyNumberFormat="1" applyBorder="1"/>
    <xf numFmtId="3" fontId="24" fillId="0" borderId="0" xfId="0" applyNumberFormat="1" applyFont="1" applyFill="1" applyBorder="1" applyAlignment="1">
      <alignment horizontal="right"/>
    </xf>
    <xf numFmtId="3" fontId="30" fillId="0" borderId="0" xfId="0" applyNumberFormat="1" applyFont="1" applyBorder="1"/>
    <xf numFmtId="3" fontId="0" fillId="0" borderId="0" xfId="0" applyNumberForma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left"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9" fontId="0" fillId="0" borderId="0" xfId="0" applyNumberFormat="1" applyAlignment="1">
      <alignment vertical="center"/>
    </xf>
    <xf numFmtId="0" fontId="3" fillId="0" borderId="41" xfId="0" applyFon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right" vertical="center"/>
      <protection locked="0"/>
    </xf>
    <xf numFmtId="3" fontId="0" fillId="0" borderId="36" xfId="0" applyNumberFormat="1" applyBorder="1" applyAlignment="1">
      <alignment vertical="center"/>
    </xf>
    <xf numFmtId="3" fontId="0" fillId="0" borderId="36" xfId="0" applyNumberFormat="1" applyFill="1" applyBorder="1" applyAlignment="1">
      <alignment vertical="center"/>
    </xf>
    <xf numFmtId="9" fontId="0" fillId="0" borderId="36" xfId="0" applyNumberFormat="1" applyFill="1" applyBorder="1" applyAlignment="1">
      <alignment vertical="center"/>
    </xf>
    <xf numFmtId="3" fontId="0" fillId="0" borderId="37" xfId="0" applyNumberFormat="1" applyBorder="1" applyAlignment="1">
      <alignment vertical="center"/>
    </xf>
    <xf numFmtId="0" fontId="0" fillId="0" borderId="34" xfId="0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Fill="1" applyBorder="1" applyAlignment="1">
      <alignment vertical="center"/>
    </xf>
    <xf numFmtId="9" fontId="0" fillId="0" borderId="34" xfId="0" applyNumberFormat="1" applyFill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0" fillId="0" borderId="34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center" vertical="center"/>
    </xf>
    <xf numFmtId="3" fontId="24" fillId="0" borderId="38" xfId="0" applyNumberFormat="1" applyFont="1" applyBorder="1" applyAlignment="1">
      <alignment horizontal="center" vertical="center"/>
    </xf>
    <xf numFmtId="167" fontId="0" fillId="0" borderId="34" xfId="0" applyNumberFormat="1" applyFill="1" applyBorder="1" applyAlignment="1">
      <alignment vertical="center"/>
    </xf>
    <xf numFmtId="9" fontId="0" fillId="0" borderId="38" xfId="0" applyNumberFormat="1" applyBorder="1" applyAlignment="1">
      <alignment vertical="center"/>
    </xf>
    <xf numFmtId="3" fontId="0" fillId="0" borderId="35" xfId="0" applyNumberFormat="1" applyFill="1" applyBorder="1" applyAlignment="1">
      <alignment vertical="center"/>
    </xf>
    <xf numFmtId="164" fontId="0" fillId="0" borderId="34" xfId="0" applyNumberFormat="1" applyFill="1" applyBorder="1" applyAlignment="1">
      <alignment horizontal="right" vertical="center"/>
    </xf>
    <xf numFmtId="1" fontId="0" fillId="0" borderId="34" xfId="0" applyNumberFormat="1" applyFill="1" applyBorder="1" applyAlignment="1">
      <alignment horizontal="right" vertical="center"/>
    </xf>
    <xf numFmtId="164" fontId="0" fillId="0" borderId="34" xfId="0" applyNumberFormat="1" applyFont="1" applyFill="1" applyBorder="1" applyAlignment="1">
      <alignment horizontal="right" vertical="center"/>
    </xf>
    <xf numFmtId="164" fontId="0" fillId="0" borderId="34" xfId="0" applyNumberFormat="1" applyBorder="1" applyAlignment="1">
      <alignment horizontal="right" vertical="center"/>
    </xf>
    <xf numFmtId="3" fontId="0" fillId="0" borderId="35" xfId="0" applyNumberFormat="1" applyFont="1" applyFill="1" applyBorder="1" applyAlignment="1">
      <alignment vertical="center"/>
    </xf>
    <xf numFmtId="3" fontId="24" fillId="8" borderId="35" xfId="0" applyNumberFormat="1" applyFont="1" applyFill="1" applyBorder="1" applyAlignment="1">
      <alignment vertical="center"/>
    </xf>
    <xf numFmtId="167" fontId="24" fillId="8" borderId="34" xfId="0" applyNumberFormat="1" applyFont="1" applyFill="1" applyBorder="1" applyAlignment="1">
      <alignment horizontal="right" vertical="center"/>
    </xf>
    <xf numFmtId="3" fontId="24" fillId="8" borderId="34" xfId="0" applyNumberFormat="1" applyFont="1" applyFill="1" applyBorder="1" applyAlignment="1">
      <alignment horizontal="center" vertical="center"/>
    </xf>
    <xf numFmtId="164" fontId="24" fillId="8" borderId="34" xfId="0" applyNumberFormat="1" applyFont="1" applyFill="1" applyBorder="1" applyAlignment="1">
      <alignment horizontal="right" vertical="center"/>
    </xf>
    <xf numFmtId="1" fontId="24" fillId="8" borderId="34" xfId="0" applyNumberFormat="1" applyFont="1" applyFill="1" applyBorder="1" applyAlignment="1">
      <alignment horizontal="right" vertical="center"/>
    </xf>
    <xf numFmtId="3" fontId="24" fillId="8" borderId="34" xfId="0" applyNumberFormat="1" applyFont="1" applyFill="1" applyBorder="1" applyAlignment="1">
      <alignment vertical="center"/>
    </xf>
    <xf numFmtId="9" fontId="24" fillId="8" borderId="38" xfId="0" applyNumberFormat="1" applyFont="1" applyFill="1" applyBorder="1" applyAlignment="1">
      <alignment vertical="center"/>
    </xf>
    <xf numFmtId="3" fontId="24" fillId="0" borderId="35" xfId="0" applyNumberFormat="1" applyFont="1" applyFill="1" applyBorder="1" applyAlignment="1">
      <alignment vertical="center"/>
    </xf>
    <xf numFmtId="3" fontId="24" fillId="0" borderId="34" xfId="0" applyNumberFormat="1" applyFont="1" applyBorder="1" applyAlignment="1">
      <alignment horizontal="right" vertical="center"/>
    </xf>
    <xf numFmtId="3" fontId="24" fillId="0" borderId="34" xfId="0" applyNumberFormat="1" applyFont="1" applyBorder="1" applyAlignment="1">
      <alignment vertical="center"/>
    </xf>
    <xf numFmtId="3" fontId="24" fillId="0" borderId="34" xfId="0" applyNumberFormat="1" applyFont="1" applyFill="1" applyBorder="1" applyAlignment="1">
      <alignment horizontal="center" vertical="center"/>
    </xf>
    <xf numFmtId="9" fontId="27" fillId="0" borderId="34" xfId="0" applyNumberFormat="1" applyFont="1" applyFill="1" applyBorder="1" applyAlignment="1">
      <alignment vertical="center"/>
    </xf>
    <xf numFmtId="167" fontId="24" fillId="0" borderId="34" xfId="0" applyNumberFormat="1" applyFont="1" applyFill="1" applyBorder="1" applyAlignment="1">
      <alignment vertical="center"/>
    </xf>
    <xf numFmtId="167" fontId="24" fillId="0" borderId="34" xfId="0" applyNumberFormat="1" applyFont="1" applyBorder="1" applyAlignment="1">
      <alignment vertical="center"/>
    </xf>
    <xf numFmtId="167" fontId="24" fillId="0" borderId="38" xfId="0" applyNumberFormat="1" applyFont="1" applyBorder="1" applyAlignment="1">
      <alignment vertical="center"/>
    </xf>
    <xf numFmtId="164" fontId="24" fillId="8" borderId="38" xfId="0" applyNumberFormat="1" applyFont="1" applyFill="1" applyBorder="1" applyAlignment="1">
      <alignment horizontal="right" vertical="center"/>
    </xf>
    <xf numFmtId="167" fontId="26" fillId="0" borderId="34" xfId="0" applyNumberFormat="1" applyFont="1" applyFill="1" applyBorder="1" applyAlignment="1">
      <alignment vertical="center"/>
    </xf>
    <xf numFmtId="1" fontId="26" fillId="0" borderId="34" xfId="0" applyNumberFormat="1" applyFont="1" applyFill="1" applyBorder="1" applyAlignment="1">
      <alignment vertical="center"/>
    </xf>
    <xf numFmtId="167" fontId="0" fillId="0" borderId="34" xfId="0" applyNumberFormat="1" applyBorder="1" applyAlignment="1">
      <alignment vertical="center"/>
    </xf>
    <xf numFmtId="1" fontId="27" fillId="0" borderId="34" xfId="0" applyNumberFormat="1" applyFont="1" applyFill="1" applyBorder="1" applyAlignment="1">
      <alignment vertical="center"/>
    </xf>
    <xf numFmtId="3" fontId="22" fillId="0" borderId="42" xfId="0" applyNumberFormat="1" applyFont="1" applyBorder="1" applyAlignment="1">
      <alignment vertical="center"/>
    </xf>
    <xf numFmtId="3" fontId="22" fillId="0" borderId="39" xfId="0" applyNumberFormat="1" applyFont="1" applyBorder="1" applyAlignment="1">
      <alignment horizontal="right" vertical="center"/>
    </xf>
    <xf numFmtId="3" fontId="22" fillId="0" borderId="39" xfId="0" applyNumberFormat="1" applyFont="1" applyBorder="1" applyAlignment="1">
      <alignment vertical="center"/>
    </xf>
    <xf numFmtId="9" fontId="22" fillId="0" borderId="39" xfId="0" applyNumberFormat="1" applyFont="1" applyBorder="1" applyAlignment="1">
      <alignment vertical="center"/>
    </xf>
    <xf numFmtId="167" fontId="28" fillId="0" borderId="39" xfId="0" applyNumberFormat="1" applyFont="1" applyBorder="1" applyAlignment="1">
      <alignment vertical="center"/>
    </xf>
    <xf numFmtId="3" fontId="29" fillId="0" borderId="39" xfId="0" applyNumberFormat="1" applyFont="1" applyBorder="1" applyAlignment="1">
      <alignment vertical="center"/>
    </xf>
    <xf numFmtId="167" fontId="28" fillId="0" borderId="43" xfId="0" applyNumberFormat="1" applyFont="1" applyBorder="1" applyAlignment="1">
      <alignment vertical="center"/>
    </xf>
    <xf numFmtId="3" fontId="31" fillId="0" borderId="35" xfId="0" applyNumberFormat="1" applyFont="1" applyBorder="1" applyAlignment="1">
      <alignment horizontal="center" vertical="center"/>
    </xf>
    <xf numFmtId="167" fontId="0" fillId="0" borderId="34" xfId="0" applyNumberFormat="1" applyFont="1" applyFill="1" applyBorder="1" applyAlignment="1">
      <alignment horizontal="right" vertical="top"/>
    </xf>
    <xf numFmtId="3" fontId="0" fillId="0" borderId="34" xfId="0" applyNumberFormat="1" applyBorder="1" applyAlignment="1">
      <alignment horizontal="center" vertical="top"/>
    </xf>
    <xf numFmtId="164" fontId="0" fillId="0" borderId="34" xfId="0" applyNumberFormat="1" applyFill="1" applyBorder="1" applyAlignment="1">
      <alignment horizontal="right" vertical="top"/>
    </xf>
    <xf numFmtId="3" fontId="0" fillId="0" borderId="34" xfId="0" applyNumberFormat="1" applyFill="1" applyBorder="1" applyAlignment="1">
      <alignment horizontal="center" vertical="center"/>
    </xf>
    <xf numFmtId="9" fontId="0" fillId="0" borderId="38" xfId="0" applyNumberFormat="1" applyFill="1" applyBorder="1" applyAlignment="1">
      <alignment vertical="center"/>
    </xf>
    <xf numFmtId="167" fontId="0" fillId="0" borderId="44" xfId="0" applyNumberFormat="1" applyFont="1" applyFill="1" applyBorder="1" applyAlignment="1">
      <alignment horizontal="right" vertical="top"/>
    </xf>
    <xf numFmtId="167" fontId="0" fillId="0" borderId="45" xfId="0" applyNumberFormat="1" applyFont="1" applyFill="1" applyBorder="1" applyAlignment="1">
      <alignment horizontal="right" vertical="top"/>
    </xf>
    <xf numFmtId="3" fontId="0" fillId="0" borderId="46" xfId="0" applyNumberFormat="1" applyFill="1" applyBorder="1" applyAlignment="1">
      <alignment vertical="center"/>
    </xf>
    <xf numFmtId="3" fontId="2" fillId="6" borderId="35" xfId="0" applyNumberFormat="1" applyFont="1" applyFill="1" applyBorder="1" applyAlignment="1">
      <alignment vertical="center"/>
    </xf>
    <xf numFmtId="168" fontId="0" fillId="6" borderId="34" xfId="0" applyNumberFormat="1" applyFont="1" applyFill="1" applyBorder="1" applyAlignment="1">
      <alignment horizontal="right" vertical="center"/>
    </xf>
    <xf numFmtId="9" fontId="1" fillId="6" borderId="34" xfId="0" applyNumberFormat="1" applyFont="1" applyFill="1" applyBorder="1" applyAlignment="1">
      <alignment vertical="center"/>
    </xf>
    <xf numFmtId="3" fontId="0" fillId="6" borderId="34" xfId="0" applyNumberFormat="1" applyFill="1" applyBorder="1" applyAlignment="1">
      <alignment vertical="center"/>
    </xf>
    <xf numFmtId="164" fontId="0" fillId="6" borderId="34" xfId="0" applyNumberFormat="1" applyFill="1" applyBorder="1" applyAlignment="1">
      <alignment vertical="center"/>
    </xf>
    <xf numFmtId="164" fontId="0" fillId="6" borderId="38" xfId="0" applyNumberFormat="1" applyFill="1" applyBorder="1" applyAlignment="1">
      <alignment vertical="center"/>
    </xf>
    <xf numFmtId="3" fontId="0" fillId="0" borderId="35" xfId="0" applyNumberFormat="1" applyFill="1" applyBorder="1" applyAlignment="1">
      <alignment vertical="top"/>
    </xf>
    <xf numFmtId="1" fontId="0" fillId="0" borderId="34" xfId="0" applyNumberFormat="1" applyFill="1" applyBorder="1" applyAlignment="1">
      <alignment horizontal="right" vertical="top"/>
    </xf>
    <xf numFmtId="164" fontId="0" fillId="0" borderId="34" xfId="0" applyNumberFormat="1" applyFont="1" applyFill="1" applyBorder="1" applyAlignment="1">
      <alignment horizontal="right" vertical="top"/>
    </xf>
    <xf numFmtId="167" fontId="2" fillId="6" borderId="34" xfId="0" applyNumberFormat="1" applyFont="1" applyFill="1" applyBorder="1" applyAlignment="1">
      <alignment vertical="center"/>
    </xf>
    <xf numFmtId="3" fontId="2" fillId="8" borderId="35" xfId="0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vertical="center"/>
    </xf>
    <xf numFmtId="167" fontId="24" fillId="0" borderId="34" xfId="0" applyNumberFormat="1" applyFont="1" applyFill="1" applyBorder="1" applyAlignment="1">
      <alignment horizontal="right" vertical="center"/>
    </xf>
    <xf numFmtId="164" fontId="24" fillId="0" borderId="34" xfId="0" applyNumberFormat="1" applyFont="1" applyFill="1" applyBorder="1" applyAlignment="1">
      <alignment horizontal="right" vertical="center"/>
    </xf>
    <xf numFmtId="1" fontId="24" fillId="0" borderId="34" xfId="0" applyNumberFormat="1" applyFont="1" applyFill="1" applyBorder="1" applyAlignment="1">
      <alignment horizontal="right" vertical="center"/>
    </xf>
    <xf numFmtId="0" fontId="0" fillId="5" borderId="40" xfId="0" applyFont="1" applyFill="1" applyBorder="1" applyAlignment="1">
      <alignment horizontal="center"/>
    </xf>
    <xf numFmtId="0" fontId="0" fillId="7" borderId="21" xfId="1" applyFont="1" applyFill="1" applyBorder="1" applyAlignment="1" applyProtection="1">
      <alignment horizontal="left"/>
    </xf>
    <xf numFmtId="0" fontId="5" fillId="0" borderId="28" xfId="1" applyFont="1" applyFill="1" applyBorder="1" applyAlignment="1" applyProtection="1">
      <alignment horizontal="left"/>
    </xf>
    <xf numFmtId="0" fontId="5" fillId="0" borderId="25" xfId="1" applyFont="1" applyFill="1" applyBorder="1" applyAlignment="1" applyProtection="1">
      <alignment horizontal="center"/>
    </xf>
    <xf numFmtId="0" fontId="0" fillId="7" borderId="28" xfId="1" applyFont="1" applyFill="1" applyBorder="1" applyAlignment="1" applyProtection="1">
      <alignment horizontal="left"/>
    </xf>
    <xf numFmtId="0" fontId="0" fillId="7" borderId="15" xfId="1" applyFont="1" applyFill="1" applyBorder="1" applyAlignment="1" applyProtection="1">
      <alignment horizontal="left"/>
    </xf>
    <xf numFmtId="49" fontId="8" fillId="0" borderId="25" xfId="1" applyNumberFormat="1" applyFont="1" applyFill="1" applyBorder="1" applyAlignment="1" applyProtection="1">
      <alignment horizontal="center"/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8" fillId="7" borderId="25" xfId="1" applyNumberFormat="1" applyFont="1" applyFill="1" applyBorder="1" applyAlignment="1" applyProtection="1">
      <alignment horizontal="left"/>
      <protection locked="0"/>
    </xf>
    <xf numFmtId="49" fontId="8" fillId="0" borderId="26" xfId="1" applyNumberFormat="1" applyFont="1" applyFill="1" applyBorder="1" applyAlignment="1" applyProtection="1">
      <alignment horizontal="center"/>
      <protection locked="0"/>
    </xf>
    <xf numFmtId="49" fontId="8" fillId="0" borderId="27" xfId="1" applyNumberFormat="1" applyFont="1" applyFill="1" applyBorder="1" applyAlignment="1" applyProtection="1">
      <alignment horizontal="center"/>
      <protection locked="0"/>
    </xf>
    <xf numFmtId="0" fontId="0" fillId="0" borderId="21" xfId="1" applyFont="1" applyFill="1" applyBorder="1" applyAlignment="1" applyProtection="1">
      <alignment horizontal="center"/>
    </xf>
    <xf numFmtId="0" fontId="0" fillId="0" borderId="19" xfId="1" applyFont="1" applyFill="1" applyBorder="1" applyAlignment="1" applyProtection="1">
      <alignment horizontal="center"/>
    </xf>
    <xf numFmtId="0" fontId="0" fillId="0" borderId="25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0" fillId="0" borderId="25" xfId="1" applyFont="1" applyBorder="1" applyAlignment="1" applyProtection="1">
      <alignment horizontal="center"/>
    </xf>
    <xf numFmtId="1" fontId="11" fillId="0" borderId="0" xfId="1" applyNumberFormat="1" applyFont="1" applyFill="1" applyBorder="1" applyAlignment="1" applyProtection="1">
      <alignment horizontal="center"/>
    </xf>
    <xf numFmtId="0" fontId="14" fillId="6" borderId="23" xfId="1" applyFont="1" applyFill="1" applyBorder="1" applyAlignment="1" applyProtection="1">
      <alignment horizontal="center" wrapText="1"/>
    </xf>
  </cellXfs>
  <cellStyles count="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normální_kalkul~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3</xdr:col>
      <xdr:colOff>400050</xdr:colOff>
      <xdr:row>0</xdr:row>
      <xdr:rowOff>438150</xdr:rowOff>
    </xdr:to>
    <xdr:pic>
      <xdr:nvPicPr>
        <xdr:cNvPr id="31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65735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32"/>
  <sheetViews>
    <sheetView tabSelected="1" zoomScaleSheetLayoutView="75" workbookViewId="0">
      <selection activeCell="A8" sqref="A8"/>
    </sheetView>
  </sheetViews>
  <sheetFormatPr baseColWidth="10" defaultColWidth="8.7109375" defaultRowHeight="13" x14ac:dyDescent="0"/>
  <cols>
    <col min="1" max="1" width="62.42578125" style="1" customWidth="1"/>
    <col min="2" max="2" width="16.5703125" style="220" customWidth="1"/>
    <col min="3" max="3" width="8.28515625" style="1" hidden="1" customWidth="1"/>
    <col min="4" max="4" width="13" style="1" hidden="1" customWidth="1"/>
    <col min="5" max="5" width="7.5703125" style="2" customWidth="1"/>
    <col min="6" max="6" width="16.42578125" style="1" customWidth="1"/>
    <col min="7" max="7" width="17.5703125" style="1" customWidth="1"/>
    <col min="8" max="8" width="1.42578125" style="1" hidden="1" customWidth="1"/>
    <col min="9" max="9" width="15.42578125" style="1" customWidth="1"/>
    <col min="10" max="10" width="20.140625" style="229" customWidth="1"/>
    <col min="11" max="11" width="16.140625" style="229" customWidth="1"/>
    <col min="12" max="16384" width="8.7109375" style="1"/>
  </cols>
  <sheetData>
    <row r="1" spans="1:248" ht="28.5" customHeight="1" thickBot="1">
      <c r="A1" s="246"/>
      <c r="B1" s="247"/>
      <c r="C1" s="246"/>
      <c r="D1" s="246"/>
      <c r="E1" s="248"/>
      <c r="F1" s="246"/>
      <c r="G1" s="246"/>
      <c r="H1" s="246"/>
      <c r="I1" s="246"/>
      <c r="J1" s="231"/>
      <c r="K1" s="231"/>
    </row>
    <row r="2" spans="1:248" ht="20" customHeight="1">
      <c r="A2" s="249" t="s">
        <v>207</v>
      </c>
      <c r="B2" s="250"/>
      <c r="C2" s="251"/>
      <c r="D2" s="252"/>
      <c r="E2" s="253"/>
      <c r="F2" s="252"/>
      <c r="G2" s="251"/>
      <c r="H2" s="251"/>
      <c r="I2" s="254"/>
      <c r="J2" s="231"/>
      <c r="K2" s="231"/>
    </row>
    <row r="3" spans="1:248" ht="12.75" hidden="1" customHeight="1">
      <c r="A3" s="244" t="s">
        <v>190</v>
      </c>
      <c r="B3" s="255"/>
      <c r="C3" s="256"/>
      <c r="D3" s="257"/>
      <c r="E3" s="258"/>
      <c r="F3" s="257"/>
      <c r="G3" s="256"/>
      <c r="H3" s="256"/>
      <c r="I3" s="259"/>
      <c r="J3" s="231"/>
      <c r="K3" s="231"/>
    </row>
    <row r="4" spans="1:248" s="6" customFormat="1" ht="15">
      <c r="A4" s="298"/>
      <c r="B4" s="260"/>
      <c r="C4" s="256"/>
      <c r="D4" s="257"/>
      <c r="E4" s="258"/>
      <c r="F4" s="257"/>
      <c r="G4" s="256"/>
      <c r="H4" s="256"/>
      <c r="I4" s="259"/>
      <c r="J4" s="230"/>
      <c r="K4" s="230"/>
    </row>
    <row r="5" spans="1:248" ht="26">
      <c r="A5" s="245" t="s">
        <v>188</v>
      </c>
      <c r="B5" s="224" t="s">
        <v>0</v>
      </c>
      <c r="C5" s="225" t="s">
        <v>1</v>
      </c>
      <c r="D5" s="226" t="s">
        <v>2</v>
      </c>
      <c r="E5" s="227" t="s">
        <v>181</v>
      </c>
      <c r="F5" s="226" t="s">
        <v>182</v>
      </c>
      <c r="G5" s="228" t="s">
        <v>3</v>
      </c>
      <c r="H5" s="261"/>
      <c r="I5" s="262" t="s">
        <v>185</v>
      </c>
      <c r="J5" s="231"/>
      <c r="K5" s="231"/>
    </row>
    <row r="6" spans="1:248" s="221" customFormat="1">
      <c r="A6" s="271" t="s">
        <v>186</v>
      </c>
      <c r="B6" s="272"/>
      <c r="C6" s="273"/>
      <c r="D6" s="274"/>
      <c r="E6" s="275"/>
      <c r="F6" s="274"/>
      <c r="G6" s="274"/>
      <c r="H6" s="276"/>
      <c r="I6" s="277"/>
      <c r="J6" s="233"/>
      <c r="K6" s="23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2"/>
      <c r="BA6" s="222"/>
      <c r="BB6" s="222"/>
      <c r="BC6" s="222"/>
      <c r="BD6" s="222"/>
      <c r="BE6" s="222"/>
      <c r="BF6" s="222"/>
      <c r="BG6" s="222"/>
      <c r="BH6" s="222"/>
      <c r="BI6" s="222"/>
      <c r="BJ6" s="222"/>
      <c r="BK6" s="222"/>
      <c r="BL6" s="222"/>
      <c r="BM6" s="222"/>
      <c r="BN6" s="222"/>
      <c r="BO6" s="222"/>
      <c r="BP6" s="222"/>
      <c r="BQ6" s="222"/>
      <c r="BR6" s="222"/>
      <c r="BS6" s="222"/>
      <c r="BT6" s="222"/>
      <c r="BU6" s="222"/>
      <c r="BV6" s="222"/>
      <c r="BW6" s="222"/>
      <c r="BX6" s="222"/>
      <c r="BY6" s="222"/>
      <c r="BZ6" s="222"/>
      <c r="CA6" s="222"/>
      <c r="CB6" s="222"/>
      <c r="CC6" s="222"/>
      <c r="CD6" s="222"/>
      <c r="CE6" s="222"/>
      <c r="CF6" s="222"/>
      <c r="CG6" s="222"/>
      <c r="CH6" s="222"/>
      <c r="CI6" s="222"/>
      <c r="CJ6" s="222"/>
      <c r="CK6" s="222"/>
      <c r="CL6" s="222"/>
      <c r="CM6" s="222"/>
      <c r="CN6" s="222"/>
      <c r="CO6" s="222"/>
      <c r="CP6" s="222"/>
      <c r="CQ6" s="222"/>
      <c r="CR6" s="222"/>
      <c r="CS6" s="222"/>
      <c r="CT6" s="222"/>
      <c r="CU6" s="222"/>
      <c r="CV6" s="222"/>
      <c r="CW6" s="222"/>
      <c r="CX6" s="222"/>
      <c r="CY6" s="222"/>
      <c r="CZ6" s="222"/>
      <c r="DA6" s="222"/>
      <c r="DB6" s="222"/>
      <c r="DC6" s="222"/>
      <c r="DD6" s="222"/>
      <c r="DE6" s="222"/>
      <c r="DF6" s="222"/>
      <c r="DG6" s="222"/>
      <c r="DH6" s="222"/>
      <c r="DI6" s="222"/>
      <c r="DJ6" s="222"/>
      <c r="DK6" s="222"/>
      <c r="DL6" s="222"/>
      <c r="DM6" s="222"/>
      <c r="DN6" s="222"/>
      <c r="DO6" s="222"/>
      <c r="DP6" s="222"/>
      <c r="DQ6" s="222"/>
      <c r="DR6" s="222"/>
      <c r="DS6" s="222"/>
      <c r="DT6" s="222"/>
      <c r="DU6" s="222"/>
      <c r="DV6" s="222"/>
      <c r="DW6" s="222"/>
      <c r="DX6" s="222"/>
      <c r="DY6" s="222"/>
      <c r="DZ6" s="222"/>
      <c r="EA6" s="222"/>
      <c r="EB6" s="222"/>
      <c r="EC6" s="222"/>
      <c r="ED6" s="222"/>
      <c r="EE6" s="222"/>
      <c r="EF6" s="222"/>
      <c r="EG6" s="222"/>
      <c r="EH6" s="222"/>
      <c r="EI6" s="222"/>
      <c r="EJ6" s="222"/>
      <c r="EK6" s="222"/>
      <c r="EL6" s="222"/>
      <c r="EM6" s="222"/>
      <c r="EN6" s="222"/>
      <c r="EO6" s="222"/>
      <c r="EP6" s="222"/>
      <c r="EQ6" s="222"/>
      <c r="ER6" s="222"/>
      <c r="ES6" s="222"/>
      <c r="ET6" s="222"/>
      <c r="EU6" s="222"/>
      <c r="EV6" s="222"/>
      <c r="EW6" s="222"/>
      <c r="EX6" s="222"/>
      <c r="EY6" s="222"/>
      <c r="EZ6" s="222"/>
      <c r="FA6" s="222"/>
      <c r="FB6" s="222"/>
      <c r="FC6" s="222"/>
      <c r="FD6" s="222"/>
      <c r="FE6" s="222"/>
      <c r="FF6" s="222"/>
      <c r="FG6" s="222"/>
      <c r="FH6" s="222"/>
      <c r="FI6" s="222"/>
      <c r="FJ6" s="222"/>
      <c r="FK6" s="222"/>
      <c r="FL6" s="222"/>
      <c r="FM6" s="222"/>
      <c r="FN6" s="222"/>
      <c r="FO6" s="222"/>
      <c r="FP6" s="222"/>
      <c r="FQ6" s="222"/>
      <c r="FR6" s="222"/>
      <c r="FS6" s="222"/>
      <c r="FT6" s="222"/>
      <c r="FU6" s="222"/>
      <c r="FV6" s="222"/>
      <c r="FW6" s="222"/>
      <c r="FX6" s="222"/>
      <c r="FY6" s="222"/>
      <c r="FZ6" s="222"/>
      <c r="GA6" s="222"/>
      <c r="GB6" s="222"/>
      <c r="GC6" s="222"/>
      <c r="GD6" s="222"/>
      <c r="GE6" s="222"/>
      <c r="GF6" s="222"/>
      <c r="GG6" s="222"/>
      <c r="GH6" s="222"/>
      <c r="GI6" s="222"/>
      <c r="GJ6" s="222"/>
      <c r="GK6" s="222"/>
      <c r="GL6" s="222"/>
      <c r="GM6" s="222"/>
      <c r="GN6" s="222"/>
      <c r="GO6" s="222"/>
      <c r="GP6" s="222"/>
      <c r="GQ6" s="222"/>
      <c r="GR6" s="222"/>
      <c r="GS6" s="222"/>
      <c r="GT6" s="222"/>
      <c r="GU6" s="222"/>
      <c r="GV6" s="222"/>
      <c r="GW6" s="222"/>
      <c r="GX6" s="222"/>
      <c r="GY6" s="222"/>
      <c r="GZ6" s="222"/>
      <c r="HA6" s="222"/>
      <c r="HB6" s="222"/>
      <c r="HC6" s="222"/>
      <c r="HD6" s="222"/>
      <c r="HE6" s="222"/>
      <c r="HF6" s="222"/>
      <c r="HG6" s="222"/>
      <c r="HH6" s="222"/>
      <c r="HI6" s="222"/>
      <c r="HJ6" s="222"/>
      <c r="HK6" s="222"/>
      <c r="HL6" s="222"/>
      <c r="HM6" s="222"/>
      <c r="HN6" s="222"/>
      <c r="HO6" s="222"/>
      <c r="HP6" s="222"/>
      <c r="HQ6" s="222"/>
      <c r="HR6" s="222"/>
      <c r="HS6" s="222"/>
      <c r="HT6" s="222"/>
      <c r="HU6" s="222"/>
      <c r="HV6" s="222"/>
      <c r="HW6" s="222"/>
      <c r="HX6" s="222"/>
      <c r="HY6" s="222"/>
      <c r="HZ6" s="222"/>
      <c r="IA6" s="222"/>
      <c r="IB6" s="222"/>
      <c r="IC6" s="222"/>
      <c r="ID6" s="222"/>
      <c r="IE6" s="222"/>
      <c r="IF6" s="222"/>
      <c r="IG6" s="222"/>
      <c r="IH6" s="222"/>
      <c r="II6" s="222"/>
      <c r="IJ6" s="222"/>
      <c r="IK6" s="222"/>
      <c r="IL6" s="222"/>
      <c r="IM6" s="222"/>
      <c r="IN6" s="222"/>
    </row>
    <row r="7" spans="1:248" s="221" customFormat="1">
      <c r="A7" s="265" t="s">
        <v>189</v>
      </c>
      <c r="B7" s="304"/>
      <c r="C7" s="302">
        <v>1</v>
      </c>
      <c r="D7" s="266">
        <f>B7*C7</f>
        <v>0</v>
      </c>
      <c r="E7" s="267">
        <v>74</v>
      </c>
      <c r="F7" s="268">
        <f t="shared" ref="F7:F12" si="0">B7*E7</f>
        <v>0</v>
      </c>
      <c r="G7" s="266">
        <f>F7*1.21</f>
        <v>0</v>
      </c>
      <c r="H7" s="257"/>
      <c r="I7" s="303">
        <v>0.21</v>
      </c>
      <c r="J7" s="233"/>
      <c r="K7" s="23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2"/>
      <c r="BA7" s="222"/>
      <c r="BB7" s="222"/>
      <c r="BC7" s="222"/>
      <c r="BD7" s="222"/>
      <c r="BE7" s="222"/>
      <c r="BF7" s="222"/>
      <c r="BG7" s="222"/>
      <c r="BH7" s="222"/>
      <c r="BI7" s="222"/>
      <c r="BJ7" s="222"/>
      <c r="BK7" s="222"/>
      <c r="BL7" s="222"/>
      <c r="BM7" s="222"/>
      <c r="BN7" s="222"/>
      <c r="BO7" s="222"/>
      <c r="BP7" s="222"/>
      <c r="BQ7" s="222"/>
      <c r="BR7" s="222"/>
      <c r="BS7" s="222"/>
      <c r="BT7" s="222"/>
      <c r="BU7" s="222"/>
      <c r="BV7" s="222"/>
      <c r="BW7" s="222"/>
      <c r="BX7" s="222"/>
      <c r="BY7" s="222"/>
      <c r="BZ7" s="222"/>
      <c r="CA7" s="222"/>
      <c r="CB7" s="222"/>
      <c r="CC7" s="222"/>
      <c r="CD7" s="222"/>
      <c r="CE7" s="222"/>
      <c r="CF7" s="222"/>
      <c r="CG7" s="222"/>
      <c r="CH7" s="222"/>
      <c r="CI7" s="222"/>
      <c r="CJ7" s="222"/>
      <c r="CK7" s="222"/>
      <c r="CL7" s="222"/>
      <c r="CM7" s="222"/>
      <c r="CN7" s="222"/>
      <c r="CO7" s="222"/>
      <c r="CP7" s="222"/>
      <c r="CQ7" s="222"/>
      <c r="CR7" s="222"/>
      <c r="CS7" s="222"/>
      <c r="CT7" s="222"/>
      <c r="CU7" s="222"/>
      <c r="CV7" s="222"/>
      <c r="CW7" s="222"/>
      <c r="CX7" s="222"/>
      <c r="CY7" s="222"/>
      <c r="CZ7" s="222"/>
      <c r="DA7" s="222"/>
      <c r="DB7" s="222"/>
      <c r="DC7" s="222"/>
      <c r="DD7" s="222"/>
      <c r="DE7" s="222"/>
      <c r="DF7" s="222"/>
      <c r="DG7" s="222"/>
      <c r="DH7" s="222"/>
      <c r="DI7" s="222"/>
      <c r="DJ7" s="222"/>
      <c r="DK7" s="222"/>
      <c r="DL7" s="222"/>
      <c r="DM7" s="222"/>
      <c r="DN7" s="222"/>
      <c r="DO7" s="222"/>
      <c r="DP7" s="222"/>
      <c r="DQ7" s="222"/>
      <c r="DR7" s="222"/>
      <c r="DS7" s="222"/>
      <c r="DT7" s="222"/>
      <c r="DU7" s="222"/>
      <c r="DV7" s="222"/>
      <c r="DW7" s="222"/>
      <c r="DX7" s="222"/>
      <c r="DY7" s="222"/>
      <c r="DZ7" s="222"/>
      <c r="EA7" s="222"/>
      <c r="EB7" s="222"/>
      <c r="EC7" s="222"/>
      <c r="ED7" s="222"/>
      <c r="EE7" s="222"/>
      <c r="EF7" s="222"/>
      <c r="EG7" s="222"/>
      <c r="EH7" s="222"/>
      <c r="EI7" s="222"/>
      <c r="EJ7" s="222"/>
      <c r="EK7" s="222"/>
      <c r="EL7" s="222"/>
      <c r="EM7" s="222"/>
      <c r="EN7" s="222"/>
      <c r="EO7" s="222"/>
      <c r="EP7" s="222"/>
      <c r="EQ7" s="222"/>
      <c r="ER7" s="222"/>
      <c r="ES7" s="222"/>
      <c r="ET7" s="222"/>
      <c r="EU7" s="222"/>
      <c r="EV7" s="222"/>
      <c r="EW7" s="222"/>
      <c r="EX7" s="222"/>
      <c r="EY7" s="222"/>
      <c r="EZ7" s="222"/>
      <c r="FA7" s="222"/>
      <c r="FB7" s="222"/>
      <c r="FC7" s="222"/>
      <c r="FD7" s="222"/>
      <c r="FE7" s="222"/>
      <c r="FF7" s="222"/>
      <c r="FG7" s="222"/>
      <c r="FH7" s="222"/>
      <c r="FI7" s="222"/>
      <c r="FJ7" s="222"/>
      <c r="FK7" s="222"/>
      <c r="FL7" s="222"/>
      <c r="FM7" s="222"/>
      <c r="FN7" s="222"/>
      <c r="FO7" s="222"/>
      <c r="FP7" s="222"/>
      <c r="FQ7" s="222"/>
      <c r="FR7" s="222"/>
      <c r="FS7" s="222"/>
      <c r="FT7" s="222"/>
      <c r="FU7" s="222"/>
      <c r="FV7" s="222"/>
      <c r="FW7" s="222"/>
      <c r="FX7" s="222"/>
      <c r="FY7" s="222"/>
      <c r="FZ7" s="222"/>
      <c r="GA7" s="222"/>
      <c r="GB7" s="222"/>
      <c r="GC7" s="222"/>
      <c r="GD7" s="222"/>
      <c r="GE7" s="222"/>
      <c r="GF7" s="222"/>
      <c r="GG7" s="222"/>
      <c r="GH7" s="222"/>
      <c r="GI7" s="222"/>
      <c r="GJ7" s="222"/>
      <c r="GK7" s="222"/>
      <c r="GL7" s="222"/>
      <c r="GM7" s="222"/>
      <c r="GN7" s="222"/>
      <c r="GO7" s="222"/>
      <c r="GP7" s="222"/>
      <c r="GQ7" s="222"/>
      <c r="GR7" s="222"/>
      <c r="GS7" s="222"/>
      <c r="GT7" s="222"/>
      <c r="GU7" s="222"/>
      <c r="GV7" s="222"/>
      <c r="GW7" s="222"/>
      <c r="GX7" s="222"/>
      <c r="GY7" s="222"/>
      <c r="GZ7" s="222"/>
      <c r="HA7" s="222"/>
      <c r="HB7" s="222"/>
      <c r="HC7" s="222"/>
      <c r="HD7" s="222"/>
      <c r="HE7" s="222"/>
      <c r="HF7" s="222"/>
      <c r="HG7" s="222"/>
      <c r="HH7" s="222"/>
      <c r="HI7" s="222"/>
      <c r="HJ7" s="222"/>
      <c r="HK7" s="222"/>
      <c r="HL7" s="222"/>
      <c r="HM7" s="222"/>
      <c r="HN7" s="222"/>
      <c r="HO7" s="222"/>
      <c r="HP7" s="222"/>
      <c r="HQ7" s="222"/>
      <c r="HR7" s="222"/>
      <c r="HS7" s="222"/>
      <c r="HT7" s="222"/>
      <c r="HU7" s="222"/>
      <c r="HV7" s="222"/>
      <c r="HW7" s="222"/>
      <c r="HX7" s="222"/>
      <c r="HY7" s="222"/>
      <c r="HZ7" s="222"/>
      <c r="IA7" s="222"/>
      <c r="IB7" s="222"/>
      <c r="IC7" s="222"/>
      <c r="ID7" s="222"/>
      <c r="IE7" s="222"/>
      <c r="IF7" s="222"/>
      <c r="IG7" s="222"/>
      <c r="IH7" s="222"/>
      <c r="II7" s="222"/>
      <c r="IJ7" s="222"/>
      <c r="IK7" s="222"/>
      <c r="IL7" s="222"/>
      <c r="IM7" s="222"/>
      <c r="IN7" s="222"/>
    </row>
    <row r="8" spans="1:248" s="222" customFormat="1">
      <c r="A8" s="270" t="s">
        <v>179</v>
      </c>
      <c r="B8" s="299"/>
      <c r="C8" s="302">
        <v>1</v>
      </c>
      <c r="D8" s="266">
        <f>B8*C8</f>
        <v>0</v>
      </c>
      <c r="E8" s="267">
        <v>187</v>
      </c>
      <c r="F8" s="268">
        <f t="shared" si="0"/>
        <v>0</v>
      </c>
      <c r="G8" s="266">
        <f>F8*1.21</f>
        <v>0</v>
      </c>
      <c r="H8" s="257"/>
      <c r="I8" s="303">
        <v>0.21</v>
      </c>
      <c r="J8" s="233"/>
      <c r="K8" s="232"/>
    </row>
    <row r="9" spans="1:248" s="222" customFormat="1">
      <c r="A9" s="265" t="s">
        <v>180</v>
      </c>
      <c r="B9" s="299"/>
      <c r="C9" s="261">
        <v>1</v>
      </c>
      <c r="D9" s="266">
        <f>B9*C9</f>
        <v>0</v>
      </c>
      <c r="E9" s="267">
        <f>E7</f>
        <v>74</v>
      </c>
      <c r="F9" s="268">
        <f t="shared" si="0"/>
        <v>0</v>
      </c>
      <c r="G9" s="269">
        <f>F9*1.21</f>
        <v>0</v>
      </c>
      <c r="H9" s="257"/>
      <c r="I9" s="264">
        <v>0.21</v>
      </c>
      <c r="J9" s="233"/>
      <c r="K9" s="232"/>
    </row>
    <row r="10" spans="1:248" s="222" customFormat="1">
      <c r="A10" s="265" t="s">
        <v>192</v>
      </c>
      <c r="B10" s="299"/>
      <c r="C10" s="300">
        <v>1</v>
      </c>
      <c r="D10" s="301">
        <f t="shared" ref="D10:D12" si="1">B10*C10</f>
        <v>0</v>
      </c>
      <c r="E10" s="267">
        <f>E7</f>
        <v>74</v>
      </c>
      <c r="F10" s="268">
        <f t="shared" si="0"/>
        <v>0</v>
      </c>
      <c r="G10" s="269">
        <f t="shared" ref="G10:G12" si="2">F10*1.21</f>
        <v>0</v>
      </c>
      <c r="H10" s="257"/>
      <c r="I10" s="264">
        <v>0.21</v>
      </c>
      <c r="J10" s="233"/>
      <c r="K10" s="232"/>
    </row>
    <row r="11" spans="1:248" s="222" customFormat="1">
      <c r="A11" s="265" t="s">
        <v>193</v>
      </c>
      <c r="B11" s="299"/>
      <c r="C11" s="300">
        <v>1</v>
      </c>
      <c r="D11" s="301">
        <f t="shared" si="1"/>
        <v>0</v>
      </c>
      <c r="E11" s="267">
        <f t="shared" ref="E11" si="3">E9</f>
        <v>74</v>
      </c>
      <c r="F11" s="268">
        <f t="shared" si="0"/>
        <v>0</v>
      </c>
      <c r="G11" s="269">
        <f t="shared" si="2"/>
        <v>0</v>
      </c>
      <c r="H11" s="257"/>
      <c r="I11" s="264">
        <v>0.21</v>
      </c>
      <c r="J11" s="233"/>
      <c r="K11" s="232"/>
    </row>
    <row r="12" spans="1:248" s="222" customFormat="1">
      <c r="A12" s="306" t="s">
        <v>194</v>
      </c>
      <c r="B12" s="305"/>
      <c r="C12" s="300">
        <v>1</v>
      </c>
      <c r="D12" s="301">
        <f t="shared" si="1"/>
        <v>0</v>
      </c>
      <c r="E12" s="267">
        <f>E7</f>
        <v>74</v>
      </c>
      <c r="F12" s="268">
        <f t="shared" si="0"/>
        <v>0</v>
      </c>
      <c r="G12" s="269">
        <f t="shared" si="2"/>
        <v>0</v>
      </c>
      <c r="H12" s="257"/>
      <c r="I12" s="264">
        <v>0.21</v>
      </c>
      <c r="J12" s="233"/>
      <c r="K12" s="232"/>
    </row>
    <row r="13" spans="1:248" s="222" customFormat="1" ht="16">
      <c r="A13" s="278" t="s">
        <v>191</v>
      </c>
      <c r="B13" s="279"/>
      <c r="C13" s="280"/>
      <c r="D13" s="281"/>
      <c r="E13" s="282"/>
      <c r="F13" s="283">
        <f>SUM(F7:F12)</f>
        <v>0</v>
      </c>
      <c r="G13" s="284">
        <f>SUM(G7:G12)</f>
        <v>0</v>
      </c>
      <c r="H13" s="256"/>
      <c r="I13" s="285">
        <f>G13-F13</f>
        <v>0</v>
      </c>
      <c r="J13" s="235"/>
      <c r="K13" s="235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223"/>
      <c r="BS13" s="223"/>
      <c r="BT13" s="223"/>
      <c r="BU13" s="223"/>
      <c r="BV13" s="223"/>
      <c r="BW13" s="223"/>
      <c r="BX13" s="223"/>
      <c r="BY13" s="223"/>
      <c r="BZ13" s="223"/>
      <c r="CA13" s="223"/>
      <c r="CB13" s="223"/>
      <c r="CC13" s="223"/>
      <c r="CD13" s="223"/>
      <c r="CE13" s="223"/>
      <c r="CF13" s="223"/>
      <c r="CG13" s="223"/>
      <c r="CH13" s="223"/>
      <c r="CI13" s="223"/>
      <c r="CJ13" s="223"/>
      <c r="CK13" s="223"/>
      <c r="CL13" s="223"/>
      <c r="CM13" s="223"/>
      <c r="CN13" s="223"/>
      <c r="CO13" s="223"/>
      <c r="CP13" s="223"/>
      <c r="CQ13" s="223"/>
      <c r="CR13" s="223"/>
      <c r="CS13" s="223"/>
      <c r="CT13" s="223"/>
      <c r="CU13" s="223"/>
      <c r="CV13" s="223"/>
      <c r="CW13" s="223"/>
      <c r="CX13" s="223"/>
      <c r="CY13" s="223"/>
      <c r="CZ13" s="223"/>
      <c r="DA13" s="223"/>
      <c r="DB13" s="223"/>
      <c r="DC13" s="223"/>
      <c r="DD13" s="223"/>
      <c r="DE13" s="223"/>
      <c r="DF13" s="223"/>
      <c r="DG13" s="223"/>
      <c r="DH13" s="223"/>
      <c r="DI13" s="223"/>
      <c r="DJ13" s="223"/>
      <c r="DK13" s="223"/>
      <c r="DL13" s="223"/>
      <c r="DM13" s="223"/>
      <c r="DN13" s="223"/>
      <c r="DO13" s="223"/>
      <c r="DP13" s="223"/>
      <c r="DQ13" s="223"/>
      <c r="DR13" s="223"/>
      <c r="DS13" s="223"/>
      <c r="DT13" s="223"/>
      <c r="DU13" s="223"/>
      <c r="DV13" s="223"/>
      <c r="DW13" s="223"/>
      <c r="DX13" s="223"/>
      <c r="DY13" s="223"/>
      <c r="DZ13" s="223"/>
      <c r="EA13" s="223"/>
      <c r="EB13" s="223"/>
      <c r="EC13" s="223"/>
      <c r="ED13" s="223"/>
      <c r="EE13" s="223"/>
      <c r="EF13" s="223"/>
      <c r="EG13" s="223"/>
      <c r="EH13" s="223"/>
      <c r="EI13" s="223"/>
      <c r="EJ13" s="223"/>
      <c r="EK13" s="223"/>
      <c r="EL13" s="223"/>
      <c r="EM13" s="223"/>
      <c r="EN13" s="223"/>
      <c r="EO13" s="223"/>
      <c r="EP13" s="223"/>
      <c r="EQ13" s="223"/>
      <c r="ER13" s="223"/>
      <c r="ES13" s="223"/>
      <c r="ET13" s="223"/>
      <c r="EU13" s="223"/>
      <c r="EV13" s="223"/>
      <c r="EW13" s="223"/>
      <c r="EX13" s="223"/>
      <c r="EY13" s="223"/>
      <c r="EZ13" s="223"/>
      <c r="FA13" s="223"/>
      <c r="FB13" s="223"/>
      <c r="FC13" s="223"/>
      <c r="FD13" s="223"/>
      <c r="FE13" s="223"/>
      <c r="FF13" s="223"/>
      <c r="FG13" s="223"/>
      <c r="FH13" s="223"/>
      <c r="FI13" s="223"/>
      <c r="FJ13" s="223"/>
      <c r="FK13" s="223"/>
      <c r="FL13" s="223"/>
      <c r="FM13" s="223"/>
      <c r="FN13" s="223"/>
      <c r="FO13" s="223"/>
      <c r="FP13" s="223"/>
      <c r="FQ13" s="223"/>
      <c r="FR13" s="223"/>
      <c r="FS13" s="223"/>
      <c r="FT13" s="223"/>
      <c r="FU13" s="223"/>
      <c r="FV13" s="223"/>
      <c r="FW13" s="223"/>
      <c r="FX13" s="223"/>
      <c r="FY13" s="223"/>
      <c r="FZ13" s="223"/>
      <c r="GA13" s="223"/>
      <c r="GB13" s="223"/>
      <c r="GC13" s="223"/>
      <c r="GD13" s="223"/>
      <c r="GE13" s="223"/>
      <c r="GF13" s="223"/>
      <c r="GG13" s="223"/>
      <c r="GH13" s="223"/>
      <c r="GI13" s="223"/>
      <c r="GJ13" s="223"/>
      <c r="GK13" s="223"/>
      <c r="GL13" s="223"/>
      <c r="GM13" s="223"/>
      <c r="GN13" s="223"/>
      <c r="GO13" s="223"/>
      <c r="GP13" s="223"/>
      <c r="GQ13" s="223"/>
      <c r="GR13" s="223"/>
      <c r="GS13" s="223"/>
      <c r="GT13" s="223"/>
      <c r="GU13" s="223"/>
      <c r="GV13" s="223"/>
      <c r="GW13" s="223"/>
      <c r="GX13" s="223"/>
      <c r="GY13" s="223"/>
      <c r="GZ13" s="223"/>
      <c r="HA13" s="223"/>
      <c r="HB13" s="223"/>
      <c r="HC13" s="223"/>
      <c r="HD13" s="223"/>
      <c r="HE13" s="223"/>
      <c r="HF13" s="223"/>
      <c r="HG13" s="223"/>
      <c r="HH13" s="223"/>
      <c r="HI13" s="223"/>
      <c r="HJ13" s="223"/>
      <c r="HK13" s="223"/>
      <c r="HL13" s="223"/>
      <c r="HM13" s="223"/>
      <c r="HN13" s="223"/>
      <c r="HO13" s="223"/>
      <c r="HP13" s="223"/>
      <c r="HQ13" s="223"/>
      <c r="HR13" s="223"/>
      <c r="HS13" s="223"/>
      <c r="HT13" s="223"/>
      <c r="HU13" s="223"/>
      <c r="HV13" s="223"/>
      <c r="HW13" s="223"/>
      <c r="HX13" s="223"/>
      <c r="HY13" s="223"/>
      <c r="HZ13" s="223"/>
      <c r="IA13" s="223"/>
      <c r="IB13" s="223"/>
      <c r="IC13" s="223"/>
      <c r="ID13" s="223"/>
      <c r="IE13" s="223"/>
      <c r="IF13" s="223"/>
      <c r="IG13" s="223"/>
      <c r="IH13" s="223"/>
      <c r="II13" s="223"/>
      <c r="IJ13" s="223"/>
      <c r="IK13" s="223"/>
      <c r="IL13" s="223"/>
      <c r="IM13" s="223"/>
      <c r="IN13" s="223"/>
    </row>
    <row r="14" spans="1:248" s="222" customFormat="1" ht="16">
      <c r="A14" s="278"/>
      <c r="B14" s="279"/>
      <c r="C14" s="280"/>
      <c r="D14" s="281"/>
      <c r="E14" s="282"/>
      <c r="F14" s="283"/>
      <c r="G14" s="284"/>
      <c r="H14" s="256"/>
      <c r="I14" s="285"/>
      <c r="J14" s="235"/>
      <c r="K14" s="235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  <c r="BZ14" s="223"/>
      <c r="CA14" s="223"/>
      <c r="CB14" s="223"/>
      <c r="CC14" s="223"/>
      <c r="CD14" s="223"/>
      <c r="CE14" s="223"/>
      <c r="CF14" s="223"/>
      <c r="CG14" s="223"/>
      <c r="CH14" s="223"/>
      <c r="CI14" s="223"/>
      <c r="CJ14" s="223"/>
      <c r="CK14" s="223"/>
      <c r="CL14" s="223"/>
      <c r="CM14" s="223"/>
      <c r="CN14" s="223"/>
      <c r="CO14" s="223"/>
      <c r="CP14" s="223"/>
      <c r="CQ14" s="223"/>
      <c r="CR14" s="223"/>
      <c r="CS14" s="223"/>
      <c r="CT14" s="223"/>
      <c r="CU14" s="223"/>
      <c r="CV14" s="223"/>
      <c r="CW14" s="223"/>
      <c r="CX14" s="223"/>
      <c r="CY14" s="223"/>
      <c r="CZ14" s="223"/>
      <c r="DA14" s="223"/>
      <c r="DB14" s="223"/>
      <c r="DC14" s="223"/>
      <c r="DD14" s="223"/>
      <c r="DE14" s="223"/>
      <c r="DF14" s="223"/>
      <c r="DG14" s="223"/>
      <c r="DH14" s="223"/>
      <c r="DI14" s="223"/>
      <c r="DJ14" s="223"/>
      <c r="DK14" s="223"/>
      <c r="DL14" s="223"/>
      <c r="DM14" s="223"/>
      <c r="DN14" s="223"/>
      <c r="DO14" s="223"/>
      <c r="DP14" s="223"/>
      <c r="DQ14" s="223"/>
      <c r="DR14" s="223"/>
      <c r="DS14" s="223"/>
      <c r="DT14" s="223"/>
      <c r="DU14" s="223"/>
      <c r="DV14" s="223"/>
      <c r="DW14" s="223"/>
      <c r="DX14" s="223"/>
      <c r="DY14" s="223"/>
      <c r="DZ14" s="223"/>
      <c r="EA14" s="223"/>
      <c r="EB14" s="223"/>
      <c r="EC14" s="223"/>
      <c r="ED14" s="223"/>
      <c r="EE14" s="223"/>
      <c r="EF14" s="223"/>
      <c r="EG14" s="223"/>
      <c r="EH14" s="223"/>
      <c r="EI14" s="223"/>
      <c r="EJ14" s="223"/>
      <c r="EK14" s="223"/>
      <c r="EL14" s="223"/>
      <c r="EM14" s="223"/>
      <c r="EN14" s="223"/>
      <c r="EO14" s="223"/>
      <c r="EP14" s="223"/>
      <c r="EQ14" s="223"/>
      <c r="ER14" s="223"/>
      <c r="ES14" s="223"/>
      <c r="ET14" s="223"/>
      <c r="EU14" s="223"/>
      <c r="EV14" s="223"/>
      <c r="EW14" s="223"/>
      <c r="EX14" s="223"/>
      <c r="EY14" s="223"/>
      <c r="EZ14" s="223"/>
      <c r="FA14" s="223"/>
      <c r="FB14" s="223"/>
      <c r="FC14" s="223"/>
      <c r="FD14" s="223"/>
      <c r="FE14" s="223"/>
      <c r="FF14" s="223"/>
      <c r="FG14" s="223"/>
      <c r="FH14" s="223"/>
      <c r="FI14" s="223"/>
      <c r="FJ14" s="223"/>
      <c r="FK14" s="223"/>
      <c r="FL14" s="223"/>
      <c r="FM14" s="223"/>
      <c r="FN14" s="223"/>
      <c r="FO14" s="223"/>
      <c r="FP14" s="223"/>
      <c r="FQ14" s="223"/>
      <c r="FR14" s="223"/>
      <c r="FS14" s="223"/>
      <c r="FT14" s="223"/>
      <c r="FU14" s="223"/>
      <c r="FV14" s="223"/>
      <c r="FW14" s="223"/>
      <c r="FX14" s="223"/>
      <c r="FY14" s="223"/>
      <c r="FZ14" s="223"/>
      <c r="GA14" s="223"/>
      <c r="GB14" s="223"/>
      <c r="GC14" s="223"/>
      <c r="GD14" s="223"/>
      <c r="GE14" s="223"/>
      <c r="GF14" s="223"/>
      <c r="GG14" s="223"/>
      <c r="GH14" s="223"/>
      <c r="GI14" s="223"/>
      <c r="GJ14" s="223"/>
      <c r="GK14" s="223"/>
      <c r="GL14" s="223"/>
      <c r="GM14" s="223"/>
      <c r="GN14" s="223"/>
      <c r="GO14" s="223"/>
      <c r="GP14" s="223"/>
      <c r="GQ14" s="223"/>
      <c r="GR14" s="223"/>
      <c r="GS14" s="223"/>
      <c r="GT14" s="223"/>
      <c r="GU14" s="223"/>
      <c r="GV14" s="223"/>
      <c r="GW14" s="223"/>
      <c r="GX14" s="223"/>
      <c r="GY14" s="223"/>
      <c r="GZ14" s="223"/>
      <c r="HA14" s="223"/>
      <c r="HB14" s="223"/>
      <c r="HC14" s="223"/>
      <c r="HD14" s="223"/>
      <c r="HE14" s="223"/>
      <c r="HF14" s="223"/>
      <c r="HG14" s="223"/>
      <c r="HH14" s="223"/>
      <c r="HI14" s="223"/>
      <c r="HJ14" s="223"/>
      <c r="HK14" s="223"/>
      <c r="HL14" s="223"/>
      <c r="HM14" s="223"/>
      <c r="HN14" s="223"/>
      <c r="HO14" s="223"/>
      <c r="HP14" s="223"/>
      <c r="HQ14" s="223"/>
      <c r="HR14" s="223"/>
      <c r="HS14" s="223"/>
      <c r="HT14" s="223"/>
      <c r="HU14" s="223"/>
      <c r="HV14" s="223"/>
      <c r="HW14" s="223"/>
      <c r="HX14" s="223"/>
      <c r="HY14" s="223"/>
      <c r="HZ14" s="223"/>
      <c r="IA14" s="223"/>
      <c r="IB14" s="223"/>
      <c r="IC14" s="223"/>
      <c r="ID14" s="223"/>
      <c r="IE14" s="223"/>
      <c r="IF14" s="223"/>
      <c r="IG14" s="223"/>
      <c r="IH14" s="223"/>
      <c r="II14" s="223"/>
      <c r="IJ14" s="223"/>
      <c r="IK14" s="223"/>
      <c r="IL14" s="223"/>
      <c r="IM14" s="223"/>
      <c r="IN14" s="223"/>
    </row>
    <row r="15" spans="1:248" s="222" customFormat="1" ht="16">
      <c r="A15" s="307" t="s">
        <v>199</v>
      </c>
      <c r="B15" s="308"/>
      <c r="C15" s="309"/>
      <c r="D15" s="310"/>
      <c r="E15" s="311"/>
      <c r="F15" s="311"/>
      <c r="G15" s="311"/>
      <c r="H15" s="256"/>
      <c r="I15" s="312"/>
      <c r="J15" s="235"/>
      <c r="K15" s="235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  <c r="BI15" s="223"/>
      <c r="BJ15" s="223"/>
      <c r="BK15" s="223"/>
      <c r="BL15" s="223"/>
      <c r="BM15" s="223"/>
      <c r="BN15" s="223"/>
      <c r="BO15" s="223"/>
      <c r="BP15" s="223"/>
      <c r="BQ15" s="223"/>
      <c r="BR15" s="223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  <c r="CJ15" s="223"/>
      <c r="CK15" s="223"/>
      <c r="CL15" s="223"/>
      <c r="CM15" s="223"/>
      <c r="CN15" s="223"/>
      <c r="CO15" s="223"/>
      <c r="CP15" s="223"/>
      <c r="CQ15" s="223"/>
      <c r="CR15" s="223"/>
      <c r="CS15" s="223"/>
      <c r="CT15" s="223"/>
      <c r="CU15" s="223"/>
      <c r="CV15" s="223"/>
      <c r="CW15" s="223"/>
      <c r="CX15" s="223"/>
      <c r="CY15" s="223"/>
      <c r="CZ15" s="223"/>
      <c r="DA15" s="223"/>
      <c r="DB15" s="223"/>
      <c r="DC15" s="223"/>
      <c r="DD15" s="223"/>
      <c r="DE15" s="223"/>
      <c r="DF15" s="223"/>
      <c r="DG15" s="223"/>
      <c r="DH15" s="223"/>
      <c r="DI15" s="223"/>
      <c r="DJ15" s="223"/>
      <c r="DK15" s="223"/>
      <c r="DL15" s="223"/>
      <c r="DM15" s="223"/>
      <c r="DN15" s="223"/>
      <c r="DO15" s="223"/>
      <c r="DP15" s="223"/>
      <c r="DQ15" s="223"/>
      <c r="DR15" s="223"/>
      <c r="DS15" s="223"/>
      <c r="DT15" s="223"/>
      <c r="DU15" s="223"/>
      <c r="DV15" s="223"/>
      <c r="DW15" s="223"/>
      <c r="DX15" s="223"/>
      <c r="DY15" s="223"/>
      <c r="DZ15" s="223"/>
      <c r="EA15" s="223"/>
      <c r="EB15" s="223"/>
      <c r="EC15" s="223"/>
      <c r="ED15" s="223"/>
      <c r="EE15" s="223"/>
      <c r="EF15" s="223"/>
      <c r="EG15" s="223"/>
      <c r="EH15" s="223"/>
      <c r="EI15" s="223"/>
      <c r="EJ15" s="223"/>
      <c r="EK15" s="223"/>
      <c r="EL15" s="223"/>
      <c r="EM15" s="223"/>
      <c r="EN15" s="223"/>
      <c r="EO15" s="223"/>
      <c r="EP15" s="223"/>
      <c r="EQ15" s="223"/>
      <c r="ER15" s="223"/>
      <c r="ES15" s="223"/>
      <c r="ET15" s="223"/>
      <c r="EU15" s="223"/>
      <c r="EV15" s="223"/>
      <c r="EW15" s="223"/>
      <c r="EX15" s="223"/>
      <c r="EY15" s="223"/>
      <c r="EZ15" s="223"/>
      <c r="FA15" s="223"/>
      <c r="FB15" s="223"/>
      <c r="FC15" s="223"/>
      <c r="FD15" s="223"/>
      <c r="FE15" s="223"/>
      <c r="FF15" s="223"/>
      <c r="FG15" s="223"/>
      <c r="FH15" s="223"/>
      <c r="FI15" s="223"/>
      <c r="FJ15" s="223"/>
      <c r="FK15" s="223"/>
      <c r="FL15" s="223"/>
      <c r="FM15" s="223"/>
      <c r="FN15" s="223"/>
      <c r="FO15" s="223"/>
      <c r="FP15" s="223"/>
      <c r="FQ15" s="223"/>
      <c r="FR15" s="223"/>
      <c r="FS15" s="223"/>
      <c r="FT15" s="223"/>
      <c r="FU15" s="223"/>
      <c r="FV15" s="223"/>
      <c r="FW15" s="223"/>
      <c r="FX15" s="223"/>
      <c r="FY15" s="223"/>
      <c r="FZ15" s="223"/>
      <c r="GA15" s="223"/>
      <c r="GB15" s="223"/>
      <c r="GC15" s="223"/>
      <c r="GD15" s="223"/>
      <c r="GE15" s="223"/>
      <c r="GF15" s="223"/>
      <c r="GG15" s="223"/>
      <c r="GH15" s="223"/>
      <c r="GI15" s="223"/>
      <c r="GJ15" s="223"/>
      <c r="GK15" s="223"/>
      <c r="GL15" s="223"/>
      <c r="GM15" s="223"/>
      <c r="GN15" s="223"/>
      <c r="GO15" s="223"/>
      <c r="GP15" s="223"/>
      <c r="GQ15" s="223"/>
      <c r="GR15" s="223"/>
      <c r="GS15" s="223"/>
      <c r="GT15" s="223"/>
      <c r="GU15" s="223"/>
      <c r="GV15" s="223"/>
      <c r="GW15" s="223"/>
      <c r="GX15" s="223"/>
      <c r="GY15" s="223"/>
      <c r="GZ15" s="223"/>
      <c r="HA15" s="223"/>
      <c r="HB15" s="223"/>
      <c r="HC15" s="223"/>
      <c r="HD15" s="223"/>
      <c r="HE15" s="223"/>
      <c r="HF15" s="223"/>
      <c r="HG15" s="223"/>
      <c r="HH15" s="223"/>
      <c r="HI15" s="223"/>
      <c r="HJ15" s="223"/>
      <c r="HK15" s="223"/>
      <c r="HL15" s="223"/>
      <c r="HM15" s="223"/>
      <c r="HN15" s="223"/>
      <c r="HO15" s="223"/>
      <c r="HP15" s="223"/>
      <c r="HQ15" s="223"/>
      <c r="HR15" s="223"/>
      <c r="HS15" s="223"/>
      <c r="HT15" s="223"/>
      <c r="HU15" s="223"/>
      <c r="HV15" s="223"/>
      <c r="HW15" s="223"/>
      <c r="HX15" s="223"/>
      <c r="HY15" s="223"/>
      <c r="HZ15" s="223"/>
      <c r="IA15" s="223"/>
      <c r="IB15" s="223"/>
      <c r="IC15" s="223"/>
      <c r="ID15" s="223"/>
      <c r="IE15" s="223"/>
      <c r="IF15" s="223"/>
      <c r="IG15" s="223"/>
      <c r="IH15" s="223"/>
      <c r="II15" s="223"/>
      <c r="IJ15" s="223"/>
      <c r="IK15" s="223"/>
      <c r="IL15" s="223"/>
      <c r="IM15" s="223"/>
      <c r="IN15" s="223"/>
    </row>
    <row r="16" spans="1:248" s="222" customFormat="1" ht="16">
      <c r="A16" s="313" t="s">
        <v>200</v>
      </c>
      <c r="B16" s="299"/>
      <c r="C16" s="314">
        <v>1</v>
      </c>
      <c r="D16" s="315">
        <f>B16*C16</f>
        <v>0</v>
      </c>
      <c r="E16" s="267">
        <v>1</v>
      </c>
      <c r="F16" s="268">
        <f>B16*E16</f>
        <v>0</v>
      </c>
      <c r="G16" s="268">
        <f>F16*1.21</f>
        <v>0</v>
      </c>
      <c r="H16" s="256"/>
      <c r="I16" s="264">
        <v>0.21</v>
      </c>
      <c r="J16" s="235"/>
      <c r="K16" s="235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3"/>
      <c r="BN16" s="223"/>
      <c r="BO16" s="223"/>
      <c r="BP16" s="223"/>
      <c r="BQ16" s="223"/>
      <c r="BR16" s="223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23"/>
      <c r="CF16" s="223"/>
      <c r="CG16" s="223"/>
      <c r="CH16" s="223"/>
      <c r="CI16" s="223"/>
      <c r="CJ16" s="223"/>
      <c r="CK16" s="223"/>
      <c r="CL16" s="223"/>
      <c r="CM16" s="223"/>
      <c r="CN16" s="223"/>
      <c r="CO16" s="223"/>
      <c r="CP16" s="223"/>
      <c r="CQ16" s="223"/>
      <c r="CR16" s="223"/>
      <c r="CS16" s="223"/>
      <c r="CT16" s="223"/>
      <c r="CU16" s="223"/>
      <c r="CV16" s="223"/>
      <c r="CW16" s="223"/>
      <c r="CX16" s="223"/>
      <c r="CY16" s="223"/>
      <c r="CZ16" s="223"/>
      <c r="DA16" s="223"/>
      <c r="DB16" s="223"/>
      <c r="DC16" s="223"/>
      <c r="DD16" s="223"/>
      <c r="DE16" s="223"/>
      <c r="DF16" s="223"/>
      <c r="DG16" s="223"/>
      <c r="DH16" s="223"/>
      <c r="DI16" s="223"/>
      <c r="DJ16" s="223"/>
      <c r="DK16" s="223"/>
      <c r="DL16" s="223"/>
      <c r="DM16" s="223"/>
      <c r="DN16" s="223"/>
      <c r="DO16" s="223"/>
      <c r="DP16" s="223"/>
      <c r="DQ16" s="223"/>
      <c r="DR16" s="223"/>
      <c r="DS16" s="223"/>
      <c r="DT16" s="223"/>
      <c r="DU16" s="223"/>
      <c r="DV16" s="223"/>
      <c r="DW16" s="223"/>
      <c r="DX16" s="223"/>
      <c r="DY16" s="223"/>
      <c r="DZ16" s="223"/>
      <c r="EA16" s="223"/>
      <c r="EB16" s="223"/>
      <c r="EC16" s="223"/>
      <c r="ED16" s="223"/>
      <c r="EE16" s="223"/>
      <c r="EF16" s="223"/>
      <c r="EG16" s="223"/>
      <c r="EH16" s="223"/>
      <c r="EI16" s="223"/>
      <c r="EJ16" s="223"/>
      <c r="EK16" s="223"/>
      <c r="EL16" s="223"/>
      <c r="EM16" s="223"/>
      <c r="EN16" s="223"/>
      <c r="EO16" s="223"/>
      <c r="EP16" s="223"/>
      <c r="EQ16" s="223"/>
      <c r="ER16" s="223"/>
      <c r="ES16" s="223"/>
      <c r="ET16" s="223"/>
      <c r="EU16" s="223"/>
      <c r="EV16" s="223"/>
      <c r="EW16" s="223"/>
      <c r="EX16" s="223"/>
      <c r="EY16" s="223"/>
      <c r="EZ16" s="223"/>
      <c r="FA16" s="223"/>
      <c r="FB16" s="223"/>
      <c r="FC16" s="223"/>
      <c r="FD16" s="223"/>
      <c r="FE16" s="223"/>
      <c r="FF16" s="223"/>
      <c r="FG16" s="223"/>
      <c r="FH16" s="223"/>
      <c r="FI16" s="223"/>
      <c r="FJ16" s="223"/>
      <c r="FK16" s="223"/>
      <c r="FL16" s="223"/>
      <c r="FM16" s="223"/>
      <c r="FN16" s="223"/>
      <c r="FO16" s="223"/>
      <c r="FP16" s="223"/>
      <c r="FQ16" s="223"/>
      <c r="FR16" s="223"/>
      <c r="FS16" s="223"/>
      <c r="FT16" s="223"/>
      <c r="FU16" s="223"/>
      <c r="FV16" s="223"/>
      <c r="FW16" s="223"/>
      <c r="FX16" s="223"/>
      <c r="FY16" s="223"/>
      <c r="FZ16" s="223"/>
      <c r="GA16" s="223"/>
      <c r="GB16" s="223"/>
      <c r="GC16" s="223"/>
      <c r="GD16" s="223"/>
      <c r="GE16" s="223"/>
      <c r="GF16" s="223"/>
      <c r="GG16" s="223"/>
      <c r="GH16" s="223"/>
      <c r="GI16" s="223"/>
      <c r="GJ16" s="223"/>
      <c r="GK16" s="223"/>
      <c r="GL16" s="223"/>
      <c r="GM16" s="223"/>
      <c r="GN16" s="223"/>
      <c r="GO16" s="223"/>
      <c r="GP16" s="223"/>
      <c r="GQ16" s="223"/>
      <c r="GR16" s="223"/>
      <c r="GS16" s="223"/>
      <c r="GT16" s="223"/>
      <c r="GU16" s="223"/>
      <c r="GV16" s="223"/>
      <c r="GW16" s="223"/>
      <c r="GX16" s="223"/>
      <c r="GY16" s="223"/>
      <c r="GZ16" s="223"/>
      <c r="HA16" s="223"/>
      <c r="HB16" s="223"/>
      <c r="HC16" s="223"/>
      <c r="HD16" s="223"/>
      <c r="HE16" s="223"/>
      <c r="HF16" s="223"/>
      <c r="HG16" s="223"/>
      <c r="HH16" s="223"/>
      <c r="HI16" s="223"/>
      <c r="HJ16" s="223"/>
      <c r="HK16" s="223"/>
      <c r="HL16" s="223"/>
      <c r="HM16" s="223"/>
      <c r="HN16" s="223"/>
      <c r="HO16" s="223"/>
      <c r="HP16" s="223"/>
      <c r="HQ16" s="223"/>
      <c r="HR16" s="223"/>
      <c r="HS16" s="223"/>
      <c r="HT16" s="223"/>
      <c r="HU16" s="223"/>
      <c r="HV16" s="223"/>
      <c r="HW16" s="223"/>
      <c r="HX16" s="223"/>
      <c r="HY16" s="223"/>
      <c r="HZ16" s="223"/>
      <c r="IA16" s="223"/>
      <c r="IB16" s="223"/>
      <c r="IC16" s="223"/>
      <c r="ID16" s="223"/>
      <c r="IE16" s="223"/>
      <c r="IF16" s="223"/>
      <c r="IG16" s="223"/>
      <c r="IH16" s="223"/>
      <c r="II16" s="223"/>
      <c r="IJ16" s="223"/>
      <c r="IK16" s="223"/>
      <c r="IL16" s="223"/>
      <c r="IM16" s="223"/>
      <c r="IN16" s="223"/>
    </row>
    <row r="17" spans="1:248" s="222" customFormat="1" ht="16">
      <c r="A17" s="307" t="s">
        <v>201</v>
      </c>
      <c r="B17" s="308"/>
      <c r="C17" s="309"/>
      <c r="D17" s="316">
        <f>D16</f>
        <v>0</v>
      </c>
      <c r="E17" s="311"/>
      <c r="F17" s="311">
        <f>F16</f>
        <v>0</v>
      </c>
      <c r="G17" s="311">
        <f>G16</f>
        <v>0</v>
      </c>
      <c r="H17" s="256"/>
      <c r="I17" s="312">
        <f>G17-F17</f>
        <v>0</v>
      </c>
      <c r="J17" s="235"/>
      <c r="K17" s="235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  <c r="BI17" s="223"/>
      <c r="BJ17" s="22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  <c r="CB17" s="223"/>
      <c r="CC17" s="223"/>
      <c r="CD17" s="223"/>
      <c r="CE17" s="223"/>
      <c r="CF17" s="223"/>
      <c r="CG17" s="223"/>
      <c r="CH17" s="223"/>
      <c r="CI17" s="223"/>
      <c r="CJ17" s="223"/>
      <c r="CK17" s="223"/>
      <c r="CL17" s="223"/>
      <c r="CM17" s="223"/>
      <c r="CN17" s="223"/>
      <c r="CO17" s="223"/>
      <c r="CP17" s="223"/>
      <c r="CQ17" s="223"/>
      <c r="CR17" s="223"/>
      <c r="CS17" s="223"/>
      <c r="CT17" s="223"/>
      <c r="CU17" s="223"/>
      <c r="CV17" s="223"/>
      <c r="CW17" s="223"/>
      <c r="CX17" s="223"/>
      <c r="CY17" s="223"/>
      <c r="CZ17" s="223"/>
      <c r="DA17" s="223"/>
      <c r="DB17" s="223"/>
      <c r="DC17" s="223"/>
      <c r="DD17" s="223"/>
      <c r="DE17" s="223"/>
      <c r="DF17" s="223"/>
      <c r="DG17" s="223"/>
      <c r="DH17" s="223"/>
      <c r="DI17" s="223"/>
      <c r="DJ17" s="223"/>
      <c r="DK17" s="223"/>
      <c r="DL17" s="223"/>
      <c r="DM17" s="223"/>
      <c r="DN17" s="223"/>
      <c r="DO17" s="223"/>
      <c r="DP17" s="223"/>
      <c r="DQ17" s="223"/>
      <c r="DR17" s="223"/>
      <c r="DS17" s="223"/>
      <c r="DT17" s="223"/>
      <c r="DU17" s="223"/>
      <c r="DV17" s="223"/>
      <c r="DW17" s="223"/>
      <c r="DX17" s="223"/>
      <c r="DY17" s="223"/>
      <c r="DZ17" s="223"/>
      <c r="EA17" s="223"/>
      <c r="EB17" s="223"/>
      <c r="EC17" s="223"/>
      <c r="ED17" s="223"/>
      <c r="EE17" s="223"/>
      <c r="EF17" s="223"/>
      <c r="EG17" s="223"/>
      <c r="EH17" s="223"/>
      <c r="EI17" s="223"/>
      <c r="EJ17" s="223"/>
      <c r="EK17" s="223"/>
      <c r="EL17" s="223"/>
      <c r="EM17" s="223"/>
      <c r="EN17" s="223"/>
      <c r="EO17" s="223"/>
      <c r="EP17" s="223"/>
      <c r="EQ17" s="223"/>
      <c r="ER17" s="223"/>
      <c r="ES17" s="223"/>
      <c r="ET17" s="223"/>
      <c r="EU17" s="223"/>
      <c r="EV17" s="223"/>
      <c r="EW17" s="223"/>
      <c r="EX17" s="223"/>
      <c r="EY17" s="223"/>
      <c r="EZ17" s="223"/>
      <c r="FA17" s="223"/>
      <c r="FB17" s="223"/>
      <c r="FC17" s="223"/>
      <c r="FD17" s="223"/>
      <c r="FE17" s="223"/>
      <c r="FF17" s="223"/>
      <c r="FG17" s="223"/>
      <c r="FH17" s="223"/>
      <c r="FI17" s="223"/>
      <c r="FJ17" s="223"/>
      <c r="FK17" s="223"/>
      <c r="FL17" s="223"/>
      <c r="FM17" s="223"/>
      <c r="FN17" s="223"/>
      <c r="FO17" s="223"/>
      <c r="FP17" s="223"/>
      <c r="FQ17" s="223"/>
      <c r="FR17" s="223"/>
      <c r="FS17" s="223"/>
      <c r="FT17" s="223"/>
      <c r="FU17" s="223"/>
      <c r="FV17" s="223"/>
      <c r="FW17" s="223"/>
      <c r="FX17" s="223"/>
      <c r="FY17" s="223"/>
      <c r="FZ17" s="223"/>
      <c r="GA17" s="223"/>
      <c r="GB17" s="223"/>
      <c r="GC17" s="223"/>
      <c r="GD17" s="223"/>
      <c r="GE17" s="223"/>
      <c r="GF17" s="223"/>
      <c r="GG17" s="223"/>
      <c r="GH17" s="223"/>
      <c r="GI17" s="223"/>
      <c r="GJ17" s="223"/>
      <c r="GK17" s="223"/>
      <c r="GL17" s="223"/>
      <c r="GM17" s="223"/>
      <c r="GN17" s="223"/>
      <c r="GO17" s="223"/>
      <c r="GP17" s="223"/>
      <c r="GQ17" s="223"/>
      <c r="GR17" s="223"/>
      <c r="GS17" s="223"/>
      <c r="GT17" s="223"/>
      <c r="GU17" s="223"/>
      <c r="GV17" s="223"/>
      <c r="GW17" s="223"/>
      <c r="GX17" s="223"/>
      <c r="GY17" s="223"/>
      <c r="GZ17" s="223"/>
      <c r="HA17" s="223"/>
      <c r="HB17" s="223"/>
      <c r="HC17" s="223"/>
      <c r="HD17" s="223"/>
      <c r="HE17" s="223"/>
      <c r="HF17" s="223"/>
      <c r="HG17" s="223"/>
      <c r="HH17" s="223"/>
      <c r="HI17" s="223"/>
      <c r="HJ17" s="223"/>
      <c r="HK17" s="223"/>
      <c r="HL17" s="223"/>
      <c r="HM17" s="223"/>
      <c r="HN17" s="223"/>
      <c r="HO17" s="223"/>
      <c r="HP17" s="223"/>
      <c r="HQ17" s="223"/>
      <c r="HR17" s="223"/>
      <c r="HS17" s="223"/>
      <c r="HT17" s="223"/>
      <c r="HU17" s="223"/>
      <c r="HV17" s="223"/>
      <c r="HW17" s="223"/>
      <c r="HX17" s="223"/>
      <c r="HY17" s="223"/>
      <c r="HZ17" s="223"/>
      <c r="IA17" s="223"/>
      <c r="IB17" s="223"/>
      <c r="IC17" s="223"/>
      <c r="ID17" s="223"/>
      <c r="IE17" s="223"/>
      <c r="IF17" s="223"/>
      <c r="IG17" s="223"/>
      <c r="IH17" s="223"/>
      <c r="II17" s="223"/>
      <c r="IJ17" s="223"/>
      <c r="IK17" s="223"/>
      <c r="IL17" s="223"/>
      <c r="IM17" s="223"/>
      <c r="IN17" s="223"/>
    </row>
    <row r="18" spans="1:248" s="222" customFormat="1" ht="16">
      <c r="A18" s="278"/>
      <c r="B18" s="279"/>
      <c r="C18" s="280"/>
      <c r="D18" s="281"/>
      <c r="E18" s="282"/>
      <c r="F18" s="283"/>
      <c r="G18" s="284"/>
      <c r="H18" s="256"/>
      <c r="I18" s="285"/>
      <c r="J18" s="235"/>
      <c r="K18" s="235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  <c r="BI18" s="223"/>
      <c r="BJ18" s="22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3"/>
      <c r="CD18" s="223"/>
      <c r="CE18" s="223"/>
      <c r="CF18" s="223"/>
      <c r="CG18" s="223"/>
      <c r="CH18" s="223"/>
      <c r="CI18" s="223"/>
      <c r="CJ18" s="223"/>
      <c r="CK18" s="223"/>
      <c r="CL18" s="223"/>
      <c r="CM18" s="223"/>
      <c r="CN18" s="223"/>
      <c r="CO18" s="223"/>
      <c r="CP18" s="223"/>
      <c r="CQ18" s="223"/>
      <c r="CR18" s="223"/>
      <c r="CS18" s="223"/>
      <c r="CT18" s="223"/>
      <c r="CU18" s="223"/>
      <c r="CV18" s="223"/>
      <c r="CW18" s="223"/>
      <c r="CX18" s="223"/>
      <c r="CY18" s="223"/>
      <c r="CZ18" s="223"/>
      <c r="DA18" s="223"/>
      <c r="DB18" s="223"/>
      <c r="DC18" s="223"/>
      <c r="DD18" s="223"/>
      <c r="DE18" s="223"/>
      <c r="DF18" s="223"/>
      <c r="DG18" s="223"/>
      <c r="DH18" s="223"/>
      <c r="DI18" s="223"/>
      <c r="DJ18" s="223"/>
      <c r="DK18" s="223"/>
      <c r="DL18" s="223"/>
      <c r="DM18" s="223"/>
      <c r="DN18" s="223"/>
      <c r="DO18" s="223"/>
      <c r="DP18" s="223"/>
      <c r="DQ18" s="223"/>
      <c r="DR18" s="223"/>
      <c r="DS18" s="223"/>
      <c r="DT18" s="223"/>
      <c r="DU18" s="223"/>
      <c r="DV18" s="223"/>
      <c r="DW18" s="223"/>
      <c r="DX18" s="223"/>
      <c r="DY18" s="223"/>
      <c r="DZ18" s="223"/>
      <c r="EA18" s="223"/>
      <c r="EB18" s="223"/>
      <c r="EC18" s="223"/>
      <c r="ED18" s="223"/>
      <c r="EE18" s="223"/>
      <c r="EF18" s="223"/>
      <c r="EG18" s="223"/>
      <c r="EH18" s="223"/>
      <c r="EI18" s="223"/>
      <c r="EJ18" s="223"/>
      <c r="EK18" s="223"/>
      <c r="EL18" s="223"/>
      <c r="EM18" s="223"/>
      <c r="EN18" s="223"/>
      <c r="EO18" s="223"/>
      <c r="EP18" s="223"/>
      <c r="EQ18" s="223"/>
      <c r="ER18" s="223"/>
      <c r="ES18" s="223"/>
      <c r="ET18" s="223"/>
      <c r="EU18" s="223"/>
      <c r="EV18" s="223"/>
      <c r="EW18" s="223"/>
      <c r="EX18" s="223"/>
      <c r="EY18" s="223"/>
      <c r="EZ18" s="223"/>
      <c r="FA18" s="223"/>
      <c r="FB18" s="223"/>
      <c r="FC18" s="223"/>
      <c r="FD18" s="223"/>
      <c r="FE18" s="223"/>
      <c r="FF18" s="223"/>
      <c r="FG18" s="223"/>
      <c r="FH18" s="223"/>
      <c r="FI18" s="223"/>
      <c r="FJ18" s="223"/>
      <c r="FK18" s="223"/>
      <c r="FL18" s="223"/>
      <c r="FM18" s="223"/>
      <c r="FN18" s="223"/>
      <c r="FO18" s="223"/>
      <c r="FP18" s="223"/>
      <c r="FQ18" s="223"/>
      <c r="FR18" s="223"/>
      <c r="FS18" s="223"/>
      <c r="FT18" s="223"/>
      <c r="FU18" s="223"/>
      <c r="FV18" s="223"/>
      <c r="FW18" s="223"/>
      <c r="FX18" s="223"/>
      <c r="FY18" s="223"/>
      <c r="FZ18" s="223"/>
      <c r="GA18" s="223"/>
      <c r="GB18" s="223"/>
      <c r="GC18" s="223"/>
      <c r="GD18" s="223"/>
      <c r="GE18" s="223"/>
      <c r="GF18" s="223"/>
      <c r="GG18" s="223"/>
      <c r="GH18" s="223"/>
      <c r="GI18" s="223"/>
      <c r="GJ18" s="223"/>
      <c r="GK18" s="223"/>
      <c r="GL18" s="223"/>
      <c r="GM18" s="223"/>
      <c r="GN18" s="223"/>
      <c r="GO18" s="223"/>
      <c r="GP18" s="223"/>
      <c r="GQ18" s="223"/>
      <c r="GR18" s="223"/>
      <c r="GS18" s="223"/>
      <c r="GT18" s="223"/>
      <c r="GU18" s="223"/>
      <c r="GV18" s="223"/>
      <c r="GW18" s="223"/>
      <c r="GX18" s="223"/>
      <c r="GY18" s="223"/>
      <c r="GZ18" s="223"/>
      <c r="HA18" s="223"/>
      <c r="HB18" s="223"/>
      <c r="HC18" s="223"/>
      <c r="HD18" s="223"/>
      <c r="HE18" s="223"/>
      <c r="HF18" s="223"/>
      <c r="HG18" s="223"/>
      <c r="HH18" s="223"/>
      <c r="HI18" s="223"/>
      <c r="HJ18" s="223"/>
      <c r="HK18" s="223"/>
      <c r="HL18" s="223"/>
      <c r="HM18" s="223"/>
      <c r="HN18" s="223"/>
      <c r="HO18" s="223"/>
      <c r="HP18" s="223"/>
      <c r="HQ18" s="223"/>
      <c r="HR18" s="223"/>
      <c r="HS18" s="223"/>
      <c r="HT18" s="223"/>
      <c r="HU18" s="223"/>
      <c r="HV18" s="223"/>
      <c r="HW18" s="223"/>
      <c r="HX18" s="223"/>
      <c r="HY18" s="223"/>
      <c r="HZ18" s="223"/>
      <c r="IA18" s="223"/>
      <c r="IB18" s="223"/>
      <c r="IC18" s="223"/>
      <c r="ID18" s="223"/>
      <c r="IE18" s="223"/>
      <c r="IF18" s="223"/>
      <c r="IG18" s="223"/>
      <c r="IH18" s="223"/>
      <c r="II18" s="223"/>
      <c r="IJ18" s="223"/>
      <c r="IK18" s="223"/>
      <c r="IL18" s="223"/>
      <c r="IM18" s="223"/>
      <c r="IN18" s="223"/>
    </row>
    <row r="19" spans="1:248" s="222" customFormat="1" ht="16">
      <c r="A19" s="317" t="s">
        <v>202</v>
      </c>
      <c r="B19" s="272"/>
      <c r="C19" s="273"/>
      <c r="D19" s="274"/>
      <c r="E19" s="275"/>
      <c r="F19" s="274"/>
      <c r="G19" s="274"/>
      <c r="H19" s="274"/>
      <c r="I19" s="286"/>
      <c r="J19" s="235"/>
      <c r="K19" s="235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223"/>
      <c r="AB19" s="223"/>
      <c r="AC19" s="223"/>
      <c r="AD19" s="223"/>
      <c r="AE19" s="223"/>
      <c r="AF19" s="223"/>
      <c r="AG19" s="223"/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  <c r="AW19" s="223"/>
      <c r="AX19" s="223"/>
      <c r="AY19" s="223"/>
      <c r="AZ19" s="223"/>
      <c r="BA19" s="223"/>
      <c r="BB19" s="223"/>
      <c r="BC19" s="223"/>
      <c r="BD19" s="223"/>
      <c r="BE19" s="223"/>
      <c r="BF19" s="223"/>
      <c r="BG19" s="223"/>
      <c r="BH19" s="223"/>
      <c r="BI19" s="223"/>
      <c r="BJ19" s="223"/>
      <c r="BK19" s="223"/>
      <c r="BL19" s="223"/>
      <c r="BM19" s="223"/>
      <c r="BN19" s="223"/>
      <c r="BO19" s="223"/>
      <c r="BP19" s="223"/>
      <c r="BQ19" s="223"/>
      <c r="BR19" s="223"/>
      <c r="BS19" s="223"/>
      <c r="BT19" s="223"/>
      <c r="BU19" s="223"/>
      <c r="BV19" s="223"/>
      <c r="BW19" s="223"/>
      <c r="BX19" s="223"/>
      <c r="BY19" s="223"/>
      <c r="BZ19" s="223"/>
      <c r="CA19" s="223"/>
      <c r="CB19" s="223"/>
      <c r="CC19" s="223"/>
      <c r="CD19" s="223"/>
      <c r="CE19" s="223"/>
      <c r="CF19" s="223"/>
      <c r="CG19" s="223"/>
      <c r="CH19" s="223"/>
      <c r="CI19" s="223"/>
      <c r="CJ19" s="223"/>
      <c r="CK19" s="223"/>
      <c r="CL19" s="223"/>
      <c r="CM19" s="223"/>
      <c r="CN19" s="223"/>
      <c r="CO19" s="223"/>
      <c r="CP19" s="223"/>
      <c r="CQ19" s="223"/>
      <c r="CR19" s="223"/>
      <c r="CS19" s="223"/>
      <c r="CT19" s="223"/>
      <c r="CU19" s="223"/>
      <c r="CV19" s="223"/>
      <c r="CW19" s="223"/>
      <c r="CX19" s="223"/>
      <c r="CY19" s="223"/>
      <c r="CZ19" s="223"/>
      <c r="DA19" s="223"/>
      <c r="DB19" s="223"/>
      <c r="DC19" s="223"/>
      <c r="DD19" s="223"/>
      <c r="DE19" s="223"/>
      <c r="DF19" s="223"/>
      <c r="DG19" s="223"/>
      <c r="DH19" s="223"/>
      <c r="DI19" s="223"/>
      <c r="DJ19" s="223"/>
      <c r="DK19" s="223"/>
      <c r="DL19" s="223"/>
      <c r="DM19" s="223"/>
      <c r="DN19" s="223"/>
      <c r="DO19" s="223"/>
      <c r="DP19" s="223"/>
      <c r="DQ19" s="223"/>
      <c r="DR19" s="223"/>
      <c r="DS19" s="223"/>
      <c r="DT19" s="223"/>
      <c r="DU19" s="223"/>
      <c r="DV19" s="223"/>
      <c r="DW19" s="223"/>
      <c r="DX19" s="223"/>
      <c r="DY19" s="223"/>
      <c r="DZ19" s="223"/>
      <c r="EA19" s="223"/>
      <c r="EB19" s="223"/>
      <c r="EC19" s="223"/>
      <c r="ED19" s="223"/>
      <c r="EE19" s="223"/>
      <c r="EF19" s="223"/>
      <c r="EG19" s="223"/>
      <c r="EH19" s="223"/>
      <c r="EI19" s="223"/>
      <c r="EJ19" s="223"/>
      <c r="EK19" s="223"/>
      <c r="EL19" s="223"/>
      <c r="EM19" s="223"/>
      <c r="EN19" s="223"/>
      <c r="EO19" s="223"/>
      <c r="EP19" s="223"/>
      <c r="EQ19" s="223"/>
      <c r="ER19" s="223"/>
      <c r="ES19" s="223"/>
      <c r="ET19" s="223"/>
      <c r="EU19" s="223"/>
      <c r="EV19" s="223"/>
      <c r="EW19" s="223"/>
      <c r="EX19" s="223"/>
      <c r="EY19" s="223"/>
      <c r="EZ19" s="223"/>
      <c r="FA19" s="223"/>
      <c r="FB19" s="223"/>
      <c r="FC19" s="223"/>
      <c r="FD19" s="223"/>
      <c r="FE19" s="223"/>
      <c r="FF19" s="223"/>
      <c r="FG19" s="223"/>
      <c r="FH19" s="223"/>
      <c r="FI19" s="223"/>
      <c r="FJ19" s="223"/>
      <c r="FK19" s="223"/>
      <c r="FL19" s="223"/>
      <c r="FM19" s="223"/>
      <c r="FN19" s="223"/>
      <c r="FO19" s="223"/>
      <c r="FP19" s="223"/>
      <c r="FQ19" s="223"/>
      <c r="FR19" s="223"/>
      <c r="FS19" s="223"/>
      <c r="FT19" s="223"/>
      <c r="FU19" s="223"/>
      <c r="FV19" s="223"/>
      <c r="FW19" s="223"/>
      <c r="FX19" s="223"/>
      <c r="FY19" s="223"/>
      <c r="FZ19" s="223"/>
      <c r="GA19" s="223"/>
      <c r="GB19" s="223"/>
      <c r="GC19" s="223"/>
      <c r="GD19" s="223"/>
      <c r="GE19" s="223"/>
      <c r="GF19" s="223"/>
      <c r="GG19" s="223"/>
      <c r="GH19" s="223"/>
      <c r="GI19" s="223"/>
      <c r="GJ19" s="223"/>
      <c r="GK19" s="223"/>
      <c r="GL19" s="223"/>
      <c r="GM19" s="223"/>
      <c r="GN19" s="223"/>
      <c r="GO19" s="223"/>
      <c r="GP19" s="223"/>
      <c r="GQ19" s="223"/>
      <c r="GR19" s="223"/>
      <c r="GS19" s="223"/>
      <c r="GT19" s="223"/>
      <c r="GU19" s="223"/>
      <c r="GV19" s="223"/>
      <c r="GW19" s="223"/>
      <c r="GX19" s="223"/>
      <c r="GY19" s="223"/>
      <c r="GZ19" s="223"/>
      <c r="HA19" s="223"/>
      <c r="HB19" s="223"/>
      <c r="HC19" s="223"/>
      <c r="HD19" s="223"/>
      <c r="HE19" s="223"/>
      <c r="HF19" s="223"/>
      <c r="HG19" s="223"/>
      <c r="HH19" s="223"/>
      <c r="HI19" s="223"/>
      <c r="HJ19" s="223"/>
      <c r="HK19" s="223"/>
      <c r="HL19" s="223"/>
      <c r="HM19" s="223"/>
      <c r="HN19" s="223"/>
      <c r="HO19" s="223"/>
      <c r="HP19" s="223"/>
      <c r="HQ19" s="223"/>
      <c r="HR19" s="223"/>
      <c r="HS19" s="223"/>
      <c r="HT19" s="223"/>
      <c r="HU19" s="223"/>
      <c r="HV19" s="223"/>
      <c r="HW19" s="223"/>
      <c r="HX19" s="223"/>
      <c r="HY19" s="223"/>
      <c r="HZ19" s="223"/>
      <c r="IA19" s="223"/>
      <c r="IB19" s="223"/>
      <c r="IC19" s="223"/>
      <c r="ID19" s="223"/>
      <c r="IE19" s="223"/>
      <c r="IF19" s="223"/>
      <c r="IG19" s="223"/>
      <c r="IH19" s="223"/>
      <c r="II19" s="223"/>
      <c r="IJ19" s="223"/>
      <c r="IK19" s="223"/>
      <c r="IL19" s="223"/>
      <c r="IM19" s="223"/>
      <c r="IN19" s="223"/>
    </row>
    <row r="20" spans="1:248" s="222" customFormat="1" ht="16">
      <c r="A20" s="318" t="s">
        <v>206</v>
      </c>
      <c r="B20" s="319"/>
      <c r="C20" s="281"/>
      <c r="D20" s="320"/>
      <c r="E20" s="321">
        <v>1</v>
      </c>
      <c r="F20" s="263">
        <f t="shared" ref="F20:F23" si="4">B20*E20</f>
        <v>0</v>
      </c>
      <c r="G20" s="236">
        <f t="shared" ref="G20:G23" si="5">F20*1.21</f>
        <v>0</v>
      </c>
      <c r="H20" s="320"/>
      <c r="I20" s="264">
        <v>0.21</v>
      </c>
      <c r="J20" s="235"/>
      <c r="K20" s="235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  <c r="AZ20" s="223"/>
      <c r="BA20" s="223"/>
      <c r="BB20" s="223"/>
      <c r="BC20" s="223"/>
      <c r="BD20" s="223"/>
      <c r="BE20" s="223"/>
      <c r="BF20" s="223"/>
      <c r="BG20" s="223"/>
      <c r="BH20" s="223"/>
      <c r="BI20" s="223"/>
      <c r="BJ20" s="223"/>
      <c r="BK20" s="223"/>
      <c r="BL20" s="223"/>
      <c r="BM20" s="223"/>
      <c r="BN20" s="223"/>
      <c r="BO20" s="223"/>
      <c r="BP20" s="223"/>
      <c r="BQ20" s="223"/>
      <c r="BR20" s="223"/>
      <c r="BS20" s="223"/>
      <c r="BT20" s="223"/>
      <c r="BU20" s="223"/>
      <c r="BV20" s="223"/>
      <c r="BW20" s="223"/>
      <c r="BX20" s="223"/>
      <c r="BY20" s="223"/>
      <c r="BZ20" s="223"/>
      <c r="CA20" s="223"/>
      <c r="CB20" s="223"/>
      <c r="CC20" s="223"/>
      <c r="CD20" s="223"/>
      <c r="CE20" s="223"/>
      <c r="CF20" s="223"/>
      <c r="CG20" s="223"/>
      <c r="CH20" s="223"/>
      <c r="CI20" s="223"/>
      <c r="CJ20" s="223"/>
      <c r="CK20" s="223"/>
      <c r="CL20" s="223"/>
      <c r="CM20" s="223"/>
      <c r="CN20" s="223"/>
      <c r="CO20" s="223"/>
      <c r="CP20" s="223"/>
      <c r="CQ20" s="223"/>
      <c r="CR20" s="223"/>
      <c r="CS20" s="223"/>
      <c r="CT20" s="223"/>
      <c r="CU20" s="223"/>
      <c r="CV20" s="223"/>
      <c r="CW20" s="223"/>
      <c r="CX20" s="223"/>
      <c r="CY20" s="223"/>
      <c r="CZ20" s="223"/>
      <c r="DA20" s="223"/>
      <c r="DB20" s="223"/>
      <c r="DC20" s="223"/>
      <c r="DD20" s="223"/>
      <c r="DE20" s="223"/>
      <c r="DF20" s="223"/>
      <c r="DG20" s="223"/>
      <c r="DH20" s="223"/>
      <c r="DI20" s="223"/>
      <c r="DJ20" s="223"/>
      <c r="DK20" s="223"/>
      <c r="DL20" s="223"/>
      <c r="DM20" s="223"/>
      <c r="DN20" s="223"/>
      <c r="DO20" s="223"/>
      <c r="DP20" s="223"/>
      <c r="DQ20" s="223"/>
      <c r="DR20" s="223"/>
      <c r="DS20" s="223"/>
      <c r="DT20" s="223"/>
      <c r="DU20" s="223"/>
      <c r="DV20" s="223"/>
      <c r="DW20" s="223"/>
      <c r="DX20" s="223"/>
      <c r="DY20" s="223"/>
      <c r="DZ20" s="223"/>
      <c r="EA20" s="223"/>
      <c r="EB20" s="223"/>
      <c r="EC20" s="223"/>
      <c r="ED20" s="223"/>
      <c r="EE20" s="223"/>
      <c r="EF20" s="223"/>
      <c r="EG20" s="223"/>
      <c r="EH20" s="223"/>
      <c r="EI20" s="223"/>
      <c r="EJ20" s="223"/>
      <c r="EK20" s="223"/>
      <c r="EL20" s="223"/>
      <c r="EM20" s="223"/>
      <c r="EN20" s="223"/>
      <c r="EO20" s="223"/>
      <c r="EP20" s="223"/>
      <c r="EQ20" s="223"/>
      <c r="ER20" s="223"/>
      <c r="ES20" s="223"/>
      <c r="ET20" s="223"/>
      <c r="EU20" s="223"/>
      <c r="EV20" s="223"/>
      <c r="EW20" s="223"/>
      <c r="EX20" s="223"/>
      <c r="EY20" s="223"/>
      <c r="EZ20" s="223"/>
      <c r="FA20" s="223"/>
      <c r="FB20" s="223"/>
      <c r="FC20" s="223"/>
      <c r="FD20" s="223"/>
      <c r="FE20" s="223"/>
      <c r="FF20" s="223"/>
      <c r="FG20" s="223"/>
      <c r="FH20" s="223"/>
      <c r="FI20" s="223"/>
      <c r="FJ20" s="223"/>
      <c r="FK20" s="223"/>
      <c r="FL20" s="223"/>
      <c r="FM20" s="223"/>
      <c r="FN20" s="223"/>
      <c r="FO20" s="223"/>
      <c r="FP20" s="223"/>
      <c r="FQ20" s="223"/>
      <c r="FR20" s="223"/>
      <c r="FS20" s="223"/>
      <c r="FT20" s="223"/>
      <c r="FU20" s="223"/>
      <c r="FV20" s="223"/>
      <c r="FW20" s="223"/>
      <c r="FX20" s="223"/>
      <c r="FY20" s="223"/>
      <c r="FZ20" s="223"/>
      <c r="GA20" s="223"/>
      <c r="GB20" s="223"/>
      <c r="GC20" s="223"/>
      <c r="GD20" s="223"/>
      <c r="GE20" s="223"/>
      <c r="GF20" s="223"/>
      <c r="GG20" s="223"/>
      <c r="GH20" s="223"/>
      <c r="GI20" s="223"/>
      <c r="GJ20" s="223"/>
      <c r="GK20" s="223"/>
      <c r="GL20" s="223"/>
      <c r="GM20" s="223"/>
      <c r="GN20" s="223"/>
      <c r="GO20" s="223"/>
      <c r="GP20" s="223"/>
      <c r="GQ20" s="223"/>
      <c r="GR20" s="223"/>
      <c r="GS20" s="223"/>
      <c r="GT20" s="223"/>
      <c r="GU20" s="223"/>
      <c r="GV20" s="223"/>
      <c r="GW20" s="223"/>
      <c r="GX20" s="223"/>
      <c r="GY20" s="223"/>
      <c r="GZ20" s="223"/>
      <c r="HA20" s="223"/>
      <c r="HB20" s="223"/>
      <c r="HC20" s="223"/>
      <c r="HD20" s="223"/>
      <c r="HE20" s="223"/>
      <c r="HF20" s="223"/>
      <c r="HG20" s="223"/>
      <c r="HH20" s="223"/>
      <c r="HI20" s="223"/>
      <c r="HJ20" s="223"/>
      <c r="HK20" s="223"/>
      <c r="HL20" s="223"/>
      <c r="HM20" s="223"/>
      <c r="HN20" s="223"/>
      <c r="HO20" s="223"/>
      <c r="HP20" s="223"/>
      <c r="HQ20" s="223"/>
      <c r="HR20" s="223"/>
      <c r="HS20" s="223"/>
      <c r="HT20" s="223"/>
      <c r="HU20" s="223"/>
      <c r="HV20" s="223"/>
      <c r="HW20" s="223"/>
      <c r="HX20" s="223"/>
      <c r="HY20" s="223"/>
      <c r="HZ20" s="223"/>
      <c r="IA20" s="223"/>
      <c r="IB20" s="223"/>
      <c r="IC20" s="223"/>
      <c r="ID20" s="223"/>
      <c r="IE20" s="223"/>
      <c r="IF20" s="223"/>
      <c r="IG20" s="223"/>
      <c r="IH20" s="223"/>
      <c r="II20" s="223"/>
      <c r="IJ20" s="223"/>
      <c r="IK20" s="223"/>
      <c r="IL20" s="223"/>
      <c r="IM20" s="223"/>
      <c r="IN20" s="223"/>
    </row>
    <row r="21" spans="1:248" s="222" customFormat="1" ht="16">
      <c r="A21" s="318" t="s">
        <v>203</v>
      </c>
      <c r="B21" s="319"/>
      <c r="C21" s="281"/>
      <c r="D21" s="320"/>
      <c r="E21" s="321">
        <v>1</v>
      </c>
      <c r="F21" s="263">
        <f t="shared" si="4"/>
        <v>0</v>
      </c>
      <c r="G21" s="236">
        <f t="shared" si="5"/>
        <v>0</v>
      </c>
      <c r="H21" s="320"/>
      <c r="I21" s="264">
        <v>0.21</v>
      </c>
      <c r="J21" s="235"/>
      <c r="K21" s="235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23"/>
      <c r="Z21" s="223"/>
      <c r="AA21" s="223"/>
      <c r="AB21" s="223"/>
      <c r="AC21" s="223"/>
      <c r="AD21" s="223"/>
      <c r="AE21" s="223"/>
      <c r="AF21" s="223"/>
      <c r="AG21" s="223"/>
      <c r="AH21" s="223"/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  <c r="AZ21" s="223"/>
      <c r="BA21" s="223"/>
      <c r="BB21" s="223"/>
      <c r="BC21" s="223"/>
      <c r="BD21" s="223"/>
      <c r="BE21" s="223"/>
      <c r="BF21" s="223"/>
      <c r="BG21" s="223"/>
      <c r="BH21" s="223"/>
      <c r="BI21" s="223"/>
      <c r="BJ21" s="223"/>
      <c r="BK21" s="223"/>
      <c r="BL21" s="223"/>
      <c r="BM21" s="223"/>
      <c r="BN21" s="223"/>
      <c r="BO21" s="223"/>
      <c r="BP21" s="223"/>
      <c r="BQ21" s="223"/>
      <c r="BR21" s="223"/>
      <c r="BS21" s="223"/>
      <c r="BT21" s="223"/>
      <c r="BU21" s="223"/>
      <c r="BV21" s="223"/>
      <c r="BW21" s="223"/>
      <c r="BX21" s="223"/>
      <c r="BY21" s="223"/>
      <c r="BZ21" s="223"/>
      <c r="CA21" s="223"/>
      <c r="CB21" s="223"/>
      <c r="CC21" s="223"/>
      <c r="CD21" s="223"/>
      <c r="CE21" s="223"/>
      <c r="CF21" s="223"/>
      <c r="CG21" s="223"/>
      <c r="CH21" s="223"/>
      <c r="CI21" s="223"/>
      <c r="CJ21" s="223"/>
      <c r="CK21" s="223"/>
      <c r="CL21" s="223"/>
      <c r="CM21" s="223"/>
      <c r="CN21" s="223"/>
      <c r="CO21" s="223"/>
      <c r="CP21" s="223"/>
      <c r="CQ21" s="223"/>
      <c r="CR21" s="223"/>
      <c r="CS21" s="223"/>
      <c r="CT21" s="223"/>
      <c r="CU21" s="223"/>
      <c r="CV21" s="223"/>
      <c r="CW21" s="223"/>
      <c r="CX21" s="223"/>
      <c r="CY21" s="223"/>
      <c r="CZ21" s="223"/>
      <c r="DA21" s="223"/>
      <c r="DB21" s="223"/>
      <c r="DC21" s="223"/>
      <c r="DD21" s="223"/>
      <c r="DE21" s="223"/>
      <c r="DF21" s="223"/>
      <c r="DG21" s="223"/>
      <c r="DH21" s="223"/>
      <c r="DI21" s="223"/>
      <c r="DJ21" s="223"/>
      <c r="DK21" s="223"/>
      <c r="DL21" s="223"/>
      <c r="DM21" s="223"/>
      <c r="DN21" s="223"/>
      <c r="DO21" s="223"/>
      <c r="DP21" s="223"/>
      <c r="DQ21" s="223"/>
      <c r="DR21" s="223"/>
      <c r="DS21" s="223"/>
      <c r="DT21" s="223"/>
      <c r="DU21" s="223"/>
      <c r="DV21" s="223"/>
      <c r="DW21" s="223"/>
      <c r="DX21" s="223"/>
      <c r="DY21" s="223"/>
      <c r="DZ21" s="223"/>
      <c r="EA21" s="223"/>
      <c r="EB21" s="223"/>
      <c r="EC21" s="223"/>
      <c r="ED21" s="223"/>
      <c r="EE21" s="223"/>
      <c r="EF21" s="223"/>
      <c r="EG21" s="223"/>
      <c r="EH21" s="223"/>
      <c r="EI21" s="223"/>
      <c r="EJ21" s="223"/>
      <c r="EK21" s="223"/>
      <c r="EL21" s="223"/>
      <c r="EM21" s="223"/>
      <c r="EN21" s="223"/>
      <c r="EO21" s="223"/>
      <c r="EP21" s="223"/>
      <c r="EQ21" s="223"/>
      <c r="ER21" s="223"/>
      <c r="ES21" s="223"/>
      <c r="ET21" s="223"/>
      <c r="EU21" s="223"/>
      <c r="EV21" s="223"/>
      <c r="EW21" s="223"/>
      <c r="EX21" s="223"/>
      <c r="EY21" s="223"/>
      <c r="EZ21" s="223"/>
      <c r="FA21" s="223"/>
      <c r="FB21" s="223"/>
      <c r="FC21" s="223"/>
      <c r="FD21" s="223"/>
      <c r="FE21" s="223"/>
      <c r="FF21" s="223"/>
      <c r="FG21" s="223"/>
      <c r="FH21" s="223"/>
      <c r="FI21" s="223"/>
      <c r="FJ21" s="223"/>
      <c r="FK21" s="223"/>
      <c r="FL21" s="223"/>
      <c r="FM21" s="223"/>
      <c r="FN21" s="223"/>
      <c r="FO21" s="223"/>
      <c r="FP21" s="223"/>
      <c r="FQ21" s="223"/>
      <c r="FR21" s="223"/>
      <c r="FS21" s="223"/>
      <c r="FT21" s="223"/>
      <c r="FU21" s="223"/>
      <c r="FV21" s="223"/>
      <c r="FW21" s="223"/>
      <c r="FX21" s="223"/>
      <c r="FY21" s="223"/>
      <c r="FZ21" s="223"/>
      <c r="GA21" s="223"/>
      <c r="GB21" s="223"/>
      <c r="GC21" s="223"/>
      <c r="GD21" s="223"/>
      <c r="GE21" s="223"/>
      <c r="GF21" s="223"/>
      <c r="GG21" s="223"/>
      <c r="GH21" s="223"/>
      <c r="GI21" s="223"/>
      <c r="GJ21" s="223"/>
      <c r="GK21" s="223"/>
      <c r="GL21" s="223"/>
      <c r="GM21" s="223"/>
      <c r="GN21" s="223"/>
      <c r="GO21" s="223"/>
      <c r="GP21" s="223"/>
      <c r="GQ21" s="223"/>
      <c r="GR21" s="223"/>
      <c r="GS21" s="223"/>
      <c r="GT21" s="223"/>
      <c r="GU21" s="223"/>
      <c r="GV21" s="223"/>
      <c r="GW21" s="223"/>
      <c r="GX21" s="223"/>
      <c r="GY21" s="223"/>
      <c r="GZ21" s="223"/>
      <c r="HA21" s="223"/>
      <c r="HB21" s="223"/>
      <c r="HC21" s="223"/>
      <c r="HD21" s="223"/>
      <c r="HE21" s="223"/>
      <c r="HF21" s="223"/>
      <c r="HG21" s="223"/>
      <c r="HH21" s="223"/>
      <c r="HI21" s="223"/>
      <c r="HJ21" s="223"/>
      <c r="HK21" s="223"/>
      <c r="HL21" s="223"/>
      <c r="HM21" s="223"/>
      <c r="HN21" s="223"/>
      <c r="HO21" s="223"/>
      <c r="HP21" s="223"/>
      <c r="HQ21" s="223"/>
      <c r="HR21" s="223"/>
      <c r="HS21" s="223"/>
      <c r="HT21" s="223"/>
      <c r="HU21" s="223"/>
      <c r="HV21" s="223"/>
      <c r="HW21" s="223"/>
      <c r="HX21" s="223"/>
      <c r="HY21" s="223"/>
      <c r="HZ21" s="223"/>
      <c r="IA21" s="223"/>
      <c r="IB21" s="223"/>
      <c r="IC21" s="223"/>
      <c r="ID21" s="223"/>
      <c r="IE21" s="223"/>
      <c r="IF21" s="223"/>
      <c r="IG21" s="223"/>
      <c r="IH21" s="223"/>
      <c r="II21" s="223"/>
      <c r="IJ21" s="223"/>
      <c r="IK21" s="223"/>
      <c r="IL21" s="223"/>
      <c r="IM21" s="223"/>
      <c r="IN21" s="223"/>
    </row>
    <row r="22" spans="1:248" s="222" customFormat="1" ht="16">
      <c r="A22" s="318" t="s">
        <v>204</v>
      </c>
      <c r="B22" s="319"/>
      <c r="C22" s="281"/>
      <c r="D22" s="320"/>
      <c r="E22" s="321">
        <v>3</v>
      </c>
      <c r="F22" s="263">
        <f t="shared" si="4"/>
        <v>0</v>
      </c>
      <c r="G22" s="236">
        <f t="shared" si="5"/>
        <v>0</v>
      </c>
      <c r="H22" s="320"/>
      <c r="I22" s="264">
        <v>0.21</v>
      </c>
      <c r="J22" s="235"/>
      <c r="K22" s="235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/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  <c r="BI22" s="223"/>
      <c r="BJ22" s="223"/>
      <c r="BK22" s="223"/>
      <c r="BL22" s="223"/>
      <c r="BM22" s="223"/>
      <c r="BN22" s="223"/>
      <c r="BO22" s="223"/>
      <c r="BP22" s="223"/>
      <c r="BQ22" s="223"/>
      <c r="BR22" s="223"/>
      <c r="BS22" s="223"/>
      <c r="BT22" s="223"/>
      <c r="BU22" s="223"/>
      <c r="BV22" s="223"/>
      <c r="BW22" s="223"/>
      <c r="BX22" s="223"/>
      <c r="BY22" s="223"/>
      <c r="BZ22" s="223"/>
      <c r="CA22" s="223"/>
      <c r="CB22" s="223"/>
      <c r="CC22" s="223"/>
      <c r="CD22" s="223"/>
      <c r="CE22" s="223"/>
      <c r="CF22" s="223"/>
      <c r="CG22" s="223"/>
      <c r="CH22" s="223"/>
      <c r="CI22" s="223"/>
      <c r="CJ22" s="223"/>
      <c r="CK22" s="223"/>
      <c r="CL22" s="223"/>
      <c r="CM22" s="223"/>
      <c r="CN22" s="223"/>
      <c r="CO22" s="223"/>
      <c r="CP22" s="223"/>
      <c r="CQ22" s="223"/>
      <c r="CR22" s="223"/>
      <c r="CS22" s="223"/>
      <c r="CT22" s="223"/>
      <c r="CU22" s="223"/>
      <c r="CV22" s="223"/>
      <c r="CW22" s="223"/>
      <c r="CX22" s="223"/>
      <c r="CY22" s="223"/>
      <c r="CZ22" s="223"/>
      <c r="DA22" s="223"/>
      <c r="DB22" s="223"/>
      <c r="DC22" s="223"/>
      <c r="DD22" s="223"/>
      <c r="DE22" s="223"/>
      <c r="DF22" s="223"/>
      <c r="DG22" s="223"/>
      <c r="DH22" s="223"/>
      <c r="DI22" s="223"/>
      <c r="DJ22" s="223"/>
      <c r="DK22" s="223"/>
      <c r="DL22" s="223"/>
      <c r="DM22" s="223"/>
      <c r="DN22" s="223"/>
      <c r="DO22" s="223"/>
      <c r="DP22" s="223"/>
      <c r="DQ22" s="223"/>
      <c r="DR22" s="223"/>
      <c r="DS22" s="223"/>
      <c r="DT22" s="223"/>
      <c r="DU22" s="223"/>
      <c r="DV22" s="223"/>
      <c r="DW22" s="223"/>
      <c r="DX22" s="223"/>
      <c r="DY22" s="223"/>
      <c r="DZ22" s="223"/>
      <c r="EA22" s="223"/>
      <c r="EB22" s="223"/>
      <c r="EC22" s="223"/>
      <c r="ED22" s="223"/>
      <c r="EE22" s="223"/>
      <c r="EF22" s="223"/>
      <c r="EG22" s="223"/>
      <c r="EH22" s="223"/>
      <c r="EI22" s="223"/>
      <c r="EJ22" s="223"/>
      <c r="EK22" s="223"/>
      <c r="EL22" s="223"/>
      <c r="EM22" s="223"/>
      <c r="EN22" s="223"/>
      <c r="EO22" s="223"/>
      <c r="EP22" s="223"/>
      <c r="EQ22" s="223"/>
      <c r="ER22" s="223"/>
      <c r="ES22" s="223"/>
      <c r="ET22" s="223"/>
      <c r="EU22" s="223"/>
      <c r="EV22" s="223"/>
      <c r="EW22" s="223"/>
      <c r="EX22" s="223"/>
      <c r="EY22" s="223"/>
      <c r="EZ22" s="223"/>
      <c r="FA22" s="223"/>
      <c r="FB22" s="223"/>
      <c r="FC22" s="223"/>
      <c r="FD22" s="223"/>
      <c r="FE22" s="223"/>
      <c r="FF22" s="223"/>
      <c r="FG22" s="223"/>
      <c r="FH22" s="223"/>
      <c r="FI22" s="223"/>
      <c r="FJ22" s="223"/>
      <c r="FK22" s="223"/>
      <c r="FL22" s="223"/>
      <c r="FM22" s="223"/>
      <c r="FN22" s="223"/>
      <c r="FO22" s="223"/>
      <c r="FP22" s="223"/>
      <c r="FQ22" s="223"/>
      <c r="FR22" s="223"/>
      <c r="FS22" s="223"/>
      <c r="FT22" s="223"/>
      <c r="FU22" s="223"/>
      <c r="FV22" s="223"/>
      <c r="FW22" s="223"/>
      <c r="FX22" s="223"/>
      <c r="FY22" s="223"/>
      <c r="FZ22" s="223"/>
      <c r="GA22" s="223"/>
      <c r="GB22" s="223"/>
      <c r="GC22" s="223"/>
      <c r="GD22" s="223"/>
      <c r="GE22" s="223"/>
      <c r="GF22" s="223"/>
      <c r="GG22" s="223"/>
      <c r="GH22" s="223"/>
      <c r="GI22" s="223"/>
      <c r="GJ22" s="223"/>
      <c r="GK22" s="223"/>
      <c r="GL22" s="223"/>
      <c r="GM22" s="223"/>
      <c r="GN22" s="223"/>
      <c r="GO22" s="223"/>
      <c r="GP22" s="223"/>
      <c r="GQ22" s="223"/>
      <c r="GR22" s="223"/>
      <c r="GS22" s="223"/>
      <c r="GT22" s="223"/>
      <c r="GU22" s="223"/>
      <c r="GV22" s="223"/>
      <c r="GW22" s="223"/>
      <c r="GX22" s="223"/>
      <c r="GY22" s="223"/>
      <c r="GZ22" s="223"/>
      <c r="HA22" s="223"/>
      <c r="HB22" s="223"/>
      <c r="HC22" s="223"/>
      <c r="HD22" s="223"/>
      <c r="HE22" s="223"/>
      <c r="HF22" s="223"/>
      <c r="HG22" s="223"/>
      <c r="HH22" s="223"/>
      <c r="HI22" s="223"/>
      <c r="HJ22" s="223"/>
      <c r="HK22" s="223"/>
      <c r="HL22" s="223"/>
      <c r="HM22" s="223"/>
      <c r="HN22" s="223"/>
      <c r="HO22" s="223"/>
      <c r="HP22" s="223"/>
      <c r="HQ22" s="223"/>
      <c r="HR22" s="223"/>
      <c r="HS22" s="223"/>
      <c r="HT22" s="223"/>
      <c r="HU22" s="223"/>
      <c r="HV22" s="223"/>
      <c r="HW22" s="223"/>
      <c r="HX22" s="223"/>
      <c r="HY22" s="223"/>
      <c r="HZ22" s="223"/>
      <c r="IA22" s="223"/>
      <c r="IB22" s="223"/>
      <c r="IC22" s="223"/>
      <c r="ID22" s="223"/>
      <c r="IE22" s="223"/>
      <c r="IF22" s="223"/>
      <c r="IG22" s="223"/>
      <c r="IH22" s="223"/>
      <c r="II22" s="223"/>
      <c r="IJ22" s="223"/>
      <c r="IK22" s="223"/>
      <c r="IL22" s="223"/>
      <c r="IM22" s="223"/>
      <c r="IN22" s="223"/>
    </row>
    <row r="23" spans="1:248" s="222" customFormat="1" ht="16">
      <c r="A23" s="318" t="s">
        <v>205</v>
      </c>
      <c r="B23" s="319"/>
      <c r="C23" s="281"/>
      <c r="D23" s="320"/>
      <c r="E23" s="321">
        <v>1</v>
      </c>
      <c r="F23" s="263">
        <f t="shared" si="4"/>
        <v>0</v>
      </c>
      <c r="G23" s="236">
        <f t="shared" si="5"/>
        <v>0</v>
      </c>
      <c r="H23" s="320"/>
      <c r="I23" s="264">
        <v>0.21</v>
      </c>
      <c r="J23" s="235"/>
      <c r="K23" s="235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3"/>
      <c r="BA23" s="223"/>
      <c r="BB23" s="223"/>
      <c r="BC23" s="223"/>
      <c r="BD23" s="223"/>
      <c r="BE23" s="223"/>
      <c r="BF23" s="223"/>
      <c r="BG23" s="223"/>
      <c r="BH23" s="223"/>
      <c r="BI23" s="223"/>
      <c r="BJ23" s="223"/>
      <c r="BK23" s="223"/>
      <c r="BL23" s="223"/>
      <c r="BM23" s="223"/>
      <c r="BN23" s="223"/>
      <c r="BO23" s="223"/>
      <c r="BP23" s="223"/>
      <c r="BQ23" s="223"/>
      <c r="BR23" s="223"/>
      <c r="BS23" s="223"/>
      <c r="BT23" s="223"/>
      <c r="BU23" s="223"/>
      <c r="BV23" s="223"/>
      <c r="BW23" s="223"/>
      <c r="BX23" s="223"/>
      <c r="BY23" s="223"/>
      <c r="BZ23" s="223"/>
      <c r="CA23" s="223"/>
      <c r="CB23" s="223"/>
      <c r="CC23" s="223"/>
      <c r="CD23" s="223"/>
      <c r="CE23" s="223"/>
      <c r="CF23" s="223"/>
      <c r="CG23" s="223"/>
      <c r="CH23" s="223"/>
      <c r="CI23" s="223"/>
      <c r="CJ23" s="223"/>
      <c r="CK23" s="223"/>
      <c r="CL23" s="223"/>
      <c r="CM23" s="223"/>
      <c r="CN23" s="223"/>
      <c r="CO23" s="223"/>
      <c r="CP23" s="223"/>
      <c r="CQ23" s="223"/>
      <c r="CR23" s="223"/>
      <c r="CS23" s="223"/>
      <c r="CT23" s="223"/>
      <c r="CU23" s="223"/>
      <c r="CV23" s="223"/>
      <c r="CW23" s="223"/>
      <c r="CX23" s="223"/>
      <c r="CY23" s="223"/>
      <c r="CZ23" s="223"/>
      <c r="DA23" s="223"/>
      <c r="DB23" s="223"/>
      <c r="DC23" s="223"/>
      <c r="DD23" s="223"/>
      <c r="DE23" s="223"/>
      <c r="DF23" s="223"/>
      <c r="DG23" s="223"/>
      <c r="DH23" s="223"/>
      <c r="DI23" s="223"/>
      <c r="DJ23" s="223"/>
      <c r="DK23" s="223"/>
      <c r="DL23" s="223"/>
      <c r="DM23" s="223"/>
      <c r="DN23" s="223"/>
      <c r="DO23" s="223"/>
      <c r="DP23" s="223"/>
      <c r="DQ23" s="223"/>
      <c r="DR23" s="223"/>
      <c r="DS23" s="223"/>
      <c r="DT23" s="223"/>
      <c r="DU23" s="223"/>
      <c r="DV23" s="223"/>
      <c r="DW23" s="223"/>
      <c r="DX23" s="223"/>
      <c r="DY23" s="223"/>
      <c r="DZ23" s="223"/>
      <c r="EA23" s="223"/>
      <c r="EB23" s="223"/>
      <c r="EC23" s="223"/>
      <c r="ED23" s="223"/>
      <c r="EE23" s="223"/>
      <c r="EF23" s="223"/>
      <c r="EG23" s="223"/>
      <c r="EH23" s="223"/>
      <c r="EI23" s="223"/>
      <c r="EJ23" s="223"/>
      <c r="EK23" s="223"/>
      <c r="EL23" s="223"/>
      <c r="EM23" s="223"/>
      <c r="EN23" s="223"/>
      <c r="EO23" s="223"/>
      <c r="EP23" s="223"/>
      <c r="EQ23" s="223"/>
      <c r="ER23" s="223"/>
      <c r="ES23" s="223"/>
      <c r="ET23" s="223"/>
      <c r="EU23" s="223"/>
      <c r="EV23" s="223"/>
      <c r="EW23" s="223"/>
      <c r="EX23" s="223"/>
      <c r="EY23" s="223"/>
      <c r="EZ23" s="223"/>
      <c r="FA23" s="223"/>
      <c r="FB23" s="223"/>
      <c r="FC23" s="223"/>
      <c r="FD23" s="223"/>
      <c r="FE23" s="223"/>
      <c r="FF23" s="223"/>
      <c r="FG23" s="223"/>
      <c r="FH23" s="223"/>
      <c r="FI23" s="223"/>
      <c r="FJ23" s="223"/>
      <c r="FK23" s="223"/>
      <c r="FL23" s="223"/>
      <c r="FM23" s="223"/>
      <c r="FN23" s="223"/>
      <c r="FO23" s="223"/>
      <c r="FP23" s="223"/>
      <c r="FQ23" s="223"/>
      <c r="FR23" s="223"/>
      <c r="FS23" s="223"/>
      <c r="FT23" s="223"/>
      <c r="FU23" s="223"/>
      <c r="FV23" s="223"/>
      <c r="FW23" s="223"/>
      <c r="FX23" s="223"/>
      <c r="FY23" s="223"/>
      <c r="FZ23" s="223"/>
      <c r="GA23" s="223"/>
      <c r="GB23" s="223"/>
      <c r="GC23" s="223"/>
      <c r="GD23" s="223"/>
      <c r="GE23" s="223"/>
      <c r="GF23" s="223"/>
      <c r="GG23" s="223"/>
      <c r="GH23" s="223"/>
      <c r="GI23" s="223"/>
      <c r="GJ23" s="223"/>
      <c r="GK23" s="223"/>
      <c r="GL23" s="223"/>
      <c r="GM23" s="223"/>
      <c r="GN23" s="223"/>
      <c r="GO23" s="223"/>
      <c r="GP23" s="223"/>
      <c r="GQ23" s="223"/>
      <c r="GR23" s="223"/>
      <c r="GS23" s="223"/>
      <c r="GT23" s="223"/>
      <c r="GU23" s="223"/>
      <c r="GV23" s="223"/>
      <c r="GW23" s="223"/>
      <c r="GX23" s="223"/>
      <c r="GY23" s="223"/>
      <c r="GZ23" s="223"/>
      <c r="HA23" s="223"/>
      <c r="HB23" s="223"/>
      <c r="HC23" s="223"/>
      <c r="HD23" s="223"/>
      <c r="HE23" s="223"/>
      <c r="HF23" s="223"/>
      <c r="HG23" s="223"/>
      <c r="HH23" s="223"/>
      <c r="HI23" s="223"/>
      <c r="HJ23" s="223"/>
      <c r="HK23" s="223"/>
      <c r="HL23" s="223"/>
      <c r="HM23" s="223"/>
      <c r="HN23" s="223"/>
      <c r="HO23" s="223"/>
      <c r="HP23" s="223"/>
      <c r="HQ23" s="223"/>
      <c r="HR23" s="223"/>
      <c r="HS23" s="223"/>
      <c r="HT23" s="223"/>
      <c r="HU23" s="223"/>
      <c r="HV23" s="223"/>
      <c r="HW23" s="223"/>
      <c r="HX23" s="223"/>
      <c r="HY23" s="223"/>
      <c r="HZ23" s="223"/>
      <c r="IA23" s="223"/>
      <c r="IB23" s="223"/>
      <c r="IC23" s="223"/>
      <c r="ID23" s="223"/>
      <c r="IE23" s="223"/>
      <c r="IF23" s="223"/>
      <c r="IG23" s="223"/>
      <c r="IH23" s="223"/>
      <c r="II23" s="223"/>
      <c r="IJ23" s="223"/>
      <c r="IK23" s="223"/>
      <c r="IL23" s="223"/>
      <c r="IM23" s="223"/>
      <c r="IN23" s="223"/>
    </row>
    <row r="24" spans="1:248" s="222" customFormat="1" ht="16">
      <c r="A24" s="270" t="s">
        <v>195</v>
      </c>
      <c r="B24" s="287"/>
      <c r="C24" s="280"/>
      <c r="D24" s="281"/>
      <c r="E24" s="288">
        <v>1</v>
      </c>
      <c r="F24" s="263">
        <f t="shared" ref="F24:F28" si="6">B24*E24</f>
        <v>0</v>
      </c>
      <c r="G24" s="236">
        <f>F24*1.21</f>
        <v>0</v>
      </c>
      <c r="H24" s="289"/>
      <c r="I24" s="264">
        <v>0.21</v>
      </c>
      <c r="J24" s="235"/>
      <c r="K24" s="235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3"/>
      <c r="BA24" s="223"/>
      <c r="BB24" s="223"/>
      <c r="BC24" s="223"/>
      <c r="BD24" s="223"/>
      <c r="BE24" s="223"/>
      <c r="BF24" s="223"/>
      <c r="BG24" s="223"/>
      <c r="BH24" s="223"/>
      <c r="BI24" s="223"/>
      <c r="BJ24" s="223"/>
      <c r="BK24" s="223"/>
      <c r="BL24" s="223"/>
      <c r="BM24" s="223"/>
      <c r="BN24" s="223"/>
      <c r="BO24" s="223"/>
      <c r="BP24" s="223"/>
      <c r="BQ24" s="223"/>
      <c r="BR24" s="223"/>
      <c r="BS24" s="223"/>
      <c r="BT24" s="223"/>
      <c r="BU24" s="223"/>
      <c r="BV24" s="223"/>
      <c r="BW24" s="223"/>
      <c r="BX24" s="223"/>
      <c r="BY24" s="223"/>
      <c r="BZ24" s="223"/>
      <c r="CA24" s="223"/>
      <c r="CB24" s="223"/>
      <c r="CC24" s="223"/>
      <c r="CD24" s="223"/>
      <c r="CE24" s="223"/>
      <c r="CF24" s="223"/>
      <c r="CG24" s="223"/>
      <c r="CH24" s="223"/>
      <c r="CI24" s="223"/>
      <c r="CJ24" s="223"/>
      <c r="CK24" s="223"/>
      <c r="CL24" s="223"/>
      <c r="CM24" s="223"/>
      <c r="CN24" s="223"/>
      <c r="CO24" s="223"/>
      <c r="CP24" s="223"/>
      <c r="CQ24" s="223"/>
      <c r="CR24" s="223"/>
      <c r="CS24" s="223"/>
      <c r="CT24" s="223"/>
      <c r="CU24" s="223"/>
      <c r="CV24" s="223"/>
      <c r="CW24" s="223"/>
      <c r="CX24" s="223"/>
      <c r="CY24" s="223"/>
      <c r="CZ24" s="223"/>
      <c r="DA24" s="223"/>
      <c r="DB24" s="223"/>
      <c r="DC24" s="223"/>
      <c r="DD24" s="223"/>
      <c r="DE24" s="223"/>
      <c r="DF24" s="223"/>
      <c r="DG24" s="223"/>
      <c r="DH24" s="223"/>
      <c r="DI24" s="223"/>
      <c r="DJ24" s="223"/>
      <c r="DK24" s="223"/>
      <c r="DL24" s="223"/>
      <c r="DM24" s="223"/>
      <c r="DN24" s="223"/>
      <c r="DO24" s="223"/>
      <c r="DP24" s="223"/>
      <c r="DQ24" s="223"/>
      <c r="DR24" s="223"/>
      <c r="DS24" s="223"/>
      <c r="DT24" s="223"/>
      <c r="DU24" s="223"/>
      <c r="DV24" s="223"/>
      <c r="DW24" s="223"/>
      <c r="DX24" s="223"/>
      <c r="DY24" s="223"/>
      <c r="DZ24" s="223"/>
      <c r="EA24" s="223"/>
      <c r="EB24" s="223"/>
      <c r="EC24" s="223"/>
      <c r="ED24" s="223"/>
      <c r="EE24" s="223"/>
      <c r="EF24" s="223"/>
      <c r="EG24" s="223"/>
      <c r="EH24" s="223"/>
      <c r="EI24" s="223"/>
      <c r="EJ24" s="223"/>
      <c r="EK24" s="223"/>
      <c r="EL24" s="223"/>
      <c r="EM24" s="223"/>
      <c r="EN24" s="223"/>
      <c r="EO24" s="223"/>
      <c r="EP24" s="223"/>
      <c r="EQ24" s="223"/>
      <c r="ER24" s="223"/>
      <c r="ES24" s="223"/>
      <c r="ET24" s="223"/>
      <c r="EU24" s="223"/>
      <c r="EV24" s="223"/>
      <c r="EW24" s="223"/>
      <c r="EX24" s="223"/>
      <c r="EY24" s="223"/>
      <c r="EZ24" s="223"/>
      <c r="FA24" s="223"/>
      <c r="FB24" s="223"/>
      <c r="FC24" s="223"/>
      <c r="FD24" s="223"/>
      <c r="FE24" s="223"/>
      <c r="FF24" s="223"/>
      <c r="FG24" s="223"/>
      <c r="FH24" s="223"/>
      <c r="FI24" s="223"/>
      <c r="FJ24" s="223"/>
      <c r="FK24" s="223"/>
      <c r="FL24" s="223"/>
      <c r="FM24" s="223"/>
      <c r="FN24" s="223"/>
      <c r="FO24" s="223"/>
      <c r="FP24" s="223"/>
      <c r="FQ24" s="223"/>
      <c r="FR24" s="223"/>
      <c r="FS24" s="223"/>
      <c r="FT24" s="223"/>
      <c r="FU24" s="223"/>
      <c r="FV24" s="223"/>
      <c r="FW24" s="223"/>
      <c r="FX24" s="223"/>
      <c r="FY24" s="223"/>
      <c r="FZ24" s="223"/>
      <c r="GA24" s="223"/>
      <c r="GB24" s="223"/>
      <c r="GC24" s="223"/>
      <c r="GD24" s="223"/>
      <c r="GE24" s="223"/>
      <c r="GF24" s="223"/>
      <c r="GG24" s="223"/>
      <c r="GH24" s="223"/>
      <c r="GI24" s="223"/>
      <c r="GJ24" s="223"/>
      <c r="GK24" s="223"/>
      <c r="GL24" s="223"/>
      <c r="GM24" s="223"/>
      <c r="GN24" s="223"/>
      <c r="GO24" s="223"/>
      <c r="GP24" s="223"/>
      <c r="GQ24" s="223"/>
      <c r="GR24" s="223"/>
      <c r="GS24" s="223"/>
      <c r="GT24" s="223"/>
      <c r="GU24" s="223"/>
      <c r="GV24" s="223"/>
      <c r="GW24" s="223"/>
      <c r="GX24" s="223"/>
      <c r="GY24" s="223"/>
      <c r="GZ24" s="223"/>
      <c r="HA24" s="223"/>
      <c r="HB24" s="223"/>
      <c r="HC24" s="223"/>
      <c r="HD24" s="223"/>
      <c r="HE24" s="223"/>
      <c r="HF24" s="223"/>
      <c r="HG24" s="223"/>
      <c r="HH24" s="223"/>
      <c r="HI24" s="223"/>
      <c r="HJ24" s="223"/>
      <c r="HK24" s="223"/>
      <c r="HL24" s="223"/>
      <c r="HM24" s="223"/>
      <c r="HN24" s="223"/>
      <c r="HO24" s="223"/>
      <c r="HP24" s="223"/>
      <c r="HQ24" s="223"/>
      <c r="HR24" s="223"/>
      <c r="HS24" s="223"/>
      <c r="HT24" s="223"/>
      <c r="HU24" s="223"/>
      <c r="HV24" s="223"/>
      <c r="HW24" s="223"/>
      <c r="HX24" s="223"/>
      <c r="HY24" s="223"/>
      <c r="HZ24" s="223"/>
      <c r="IA24" s="223"/>
      <c r="IB24" s="223"/>
      <c r="IC24" s="223"/>
      <c r="ID24" s="223"/>
      <c r="IE24" s="223"/>
      <c r="IF24" s="223"/>
      <c r="IG24" s="223"/>
      <c r="IH24" s="223"/>
      <c r="II24" s="223"/>
      <c r="IJ24" s="223"/>
      <c r="IK24" s="223"/>
      <c r="IL24" s="223"/>
      <c r="IM24" s="223"/>
      <c r="IN24" s="223"/>
    </row>
    <row r="25" spans="1:248" s="222" customFormat="1" ht="16">
      <c r="A25" s="270" t="s">
        <v>196</v>
      </c>
      <c r="B25" s="236"/>
      <c r="C25" s="280"/>
      <c r="D25" s="281"/>
      <c r="E25" s="288">
        <v>2</v>
      </c>
      <c r="F25" s="263">
        <f t="shared" si="6"/>
        <v>0</v>
      </c>
      <c r="G25" s="236">
        <f>F25*1.21</f>
        <v>0</v>
      </c>
      <c r="H25" s="289"/>
      <c r="I25" s="264">
        <v>0.21</v>
      </c>
      <c r="J25" s="235"/>
      <c r="K25" s="237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  <c r="AZ25" s="223"/>
      <c r="BA25" s="223"/>
      <c r="BB25" s="223"/>
      <c r="BC25" s="223"/>
      <c r="BD25" s="223"/>
      <c r="BE25" s="223"/>
      <c r="BF25" s="223"/>
      <c r="BG25" s="223"/>
      <c r="BH25" s="223"/>
      <c r="BI25" s="223"/>
      <c r="BJ25" s="223"/>
      <c r="BK25" s="223"/>
      <c r="BL25" s="223"/>
      <c r="BM25" s="223"/>
      <c r="BN25" s="223"/>
      <c r="BO25" s="223"/>
      <c r="BP25" s="223"/>
      <c r="BQ25" s="223"/>
      <c r="BR25" s="223"/>
      <c r="BS25" s="223"/>
      <c r="BT25" s="223"/>
      <c r="BU25" s="223"/>
      <c r="BV25" s="223"/>
      <c r="BW25" s="223"/>
      <c r="BX25" s="223"/>
      <c r="BY25" s="223"/>
      <c r="BZ25" s="223"/>
      <c r="CA25" s="223"/>
      <c r="CB25" s="223"/>
      <c r="CC25" s="223"/>
      <c r="CD25" s="223"/>
      <c r="CE25" s="223"/>
      <c r="CF25" s="223"/>
      <c r="CG25" s="223"/>
      <c r="CH25" s="223"/>
      <c r="CI25" s="223"/>
      <c r="CJ25" s="223"/>
      <c r="CK25" s="223"/>
      <c r="CL25" s="223"/>
      <c r="CM25" s="223"/>
      <c r="CN25" s="223"/>
      <c r="CO25" s="223"/>
      <c r="CP25" s="223"/>
      <c r="CQ25" s="223"/>
      <c r="CR25" s="223"/>
      <c r="CS25" s="223"/>
      <c r="CT25" s="223"/>
      <c r="CU25" s="223"/>
      <c r="CV25" s="223"/>
      <c r="CW25" s="223"/>
      <c r="CX25" s="223"/>
      <c r="CY25" s="223"/>
      <c r="CZ25" s="223"/>
      <c r="DA25" s="223"/>
      <c r="DB25" s="223"/>
      <c r="DC25" s="223"/>
      <c r="DD25" s="223"/>
      <c r="DE25" s="223"/>
      <c r="DF25" s="223"/>
      <c r="DG25" s="223"/>
      <c r="DH25" s="223"/>
      <c r="DI25" s="223"/>
      <c r="DJ25" s="223"/>
      <c r="DK25" s="223"/>
      <c r="DL25" s="223"/>
      <c r="DM25" s="223"/>
      <c r="DN25" s="223"/>
      <c r="DO25" s="223"/>
      <c r="DP25" s="223"/>
      <c r="DQ25" s="223"/>
      <c r="DR25" s="223"/>
      <c r="DS25" s="223"/>
      <c r="DT25" s="223"/>
      <c r="DU25" s="223"/>
      <c r="DV25" s="223"/>
      <c r="DW25" s="223"/>
      <c r="DX25" s="223"/>
      <c r="DY25" s="223"/>
      <c r="DZ25" s="223"/>
      <c r="EA25" s="223"/>
      <c r="EB25" s="223"/>
      <c r="EC25" s="223"/>
      <c r="ED25" s="223"/>
      <c r="EE25" s="223"/>
      <c r="EF25" s="223"/>
      <c r="EG25" s="223"/>
      <c r="EH25" s="223"/>
      <c r="EI25" s="223"/>
      <c r="EJ25" s="223"/>
      <c r="EK25" s="223"/>
      <c r="EL25" s="223"/>
      <c r="EM25" s="223"/>
      <c r="EN25" s="223"/>
      <c r="EO25" s="223"/>
      <c r="EP25" s="223"/>
      <c r="EQ25" s="223"/>
      <c r="ER25" s="223"/>
      <c r="ES25" s="223"/>
      <c r="ET25" s="223"/>
      <c r="EU25" s="223"/>
      <c r="EV25" s="223"/>
      <c r="EW25" s="223"/>
      <c r="EX25" s="223"/>
      <c r="EY25" s="223"/>
      <c r="EZ25" s="223"/>
      <c r="FA25" s="223"/>
      <c r="FB25" s="223"/>
      <c r="FC25" s="223"/>
      <c r="FD25" s="223"/>
      <c r="FE25" s="223"/>
      <c r="FF25" s="223"/>
      <c r="FG25" s="223"/>
      <c r="FH25" s="223"/>
      <c r="FI25" s="223"/>
      <c r="FJ25" s="223"/>
      <c r="FK25" s="223"/>
      <c r="FL25" s="223"/>
      <c r="FM25" s="223"/>
      <c r="FN25" s="223"/>
      <c r="FO25" s="223"/>
      <c r="FP25" s="223"/>
      <c r="FQ25" s="223"/>
      <c r="FR25" s="223"/>
      <c r="FS25" s="223"/>
      <c r="FT25" s="223"/>
      <c r="FU25" s="223"/>
      <c r="FV25" s="223"/>
      <c r="FW25" s="223"/>
      <c r="FX25" s="223"/>
      <c r="FY25" s="223"/>
      <c r="FZ25" s="223"/>
      <c r="GA25" s="223"/>
      <c r="GB25" s="223"/>
      <c r="GC25" s="223"/>
      <c r="GD25" s="223"/>
      <c r="GE25" s="223"/>
      <c r="GF25" s="223"/>
      <c r="GG25" s="223"/>
      <c r="GH25" s="223"/>
      <c r="GI25" s="223"/>
      <c r="GJ25" s="223"/>
      <c r="GK25" s="223"/>
      <c r="GL25" s="223"/>
      <c r="GM25" s="223"/>
      <c r="GN25" s="223"/>
      <c r="GO25" s="223"/>
      <c r="GP25" s="223"/>
      <c r="GQ25" s="223"/>
      <c r="GR25" s="223"/>
      <c r="GS25" s="223"/>
      <c r="GT25" s="223"/>
      <c r="GU25" s="223"/>
      <c r="GV25" s="223"/>
      <c r="GW25" s="223"/>
      <c r="GX25" s="223"/>
      <c r="GY25" s="223"/>
      <c r="GZ25" s="223"/>
      <c r="HA25" s="223"/>
      <c r="HB25" s="223"/>
      <c r="HC25" s="223"/>
      <c r="HD25" s="223"/>
      <c r="HE25" s="223"/>
      <c r="HF25" s="223"/>
      <c r="HG25" s="223"/>
      <c r="HH25" s="223"/>
      <c r="HI25" s="223"/>
      <c r="HJ25" s="223"/>
      <c r="HK25" s="223"/>
      <c r="HL25" s="223"/>
      <c r="HM25" s="223"/>
      <c r="HN25" s="223"/>
      <c r="HO25" s="223"/>
      <c r="HP25" s="223"/>
      <c r="HQ25" s="223"/>
      <c r="HR25" s="223"/>
      <c r="HS25" s="223"/>
      <c r="HT25" s="223"/>
      <c r="HU25" s="223"/>
      <c r="HV25" s="223"/>
      <c r="HW25" s="223"/>
      <c r="HX25" s="223"/>
      <c r="HY25" s="223"/>
      <c r="HZ25" s="223"/>
      <c r="IA25" s="223"/>
      <c r="IB25" s="223"/>
      <c r="IC25" s="223"/>
      <c r="ID25" s="223"/>
      <c r="IE25" s="223"/>
      <c r="IF25" s="223"/>
      <c r="IG25" s="223"/>
      <c r="IH25" s="223"/>
      <c r="II25" s="223"/>
      <c r="IJ25" s="223"/>
      <c r="IK25" s="223"/>
      <c r="IL25" s="223"/>
      <c r="IM25" s="223"/>
      <c r="IN25" s="223"/>
    </row>
    <row r="26" spans="1:248" s="223" customFormat="1" ht="16">
      <c r="A26" s="270" t="s">
        <v>197</v>
      </c>
      <c r="B26" s="236"/>
      <c r="C26" s="280"/>
      <c r="D26" s="281"/>
      <c r="E26" s="288">
        <v>1</v>
      </c>
      <c r="F26" s="263">
        <f t="shared" si="6"/>
        <v>0</v>
      </c>
      <c r="G26" s="236">
        <f>F26*1.21</f>
        <v>0</v>
      </c>
      <c r="H26" s="289"/>
      <c r="I26" s="264">
        <v>0.21</v>
      </c>
      <c r="J26" s="234"/>
      <c r="K26" s="232"/>
    </row>
    <row r="27" spans="1:248" s="223" customFormat="1" ht="16">
      <c r="A27" s="270" t="s">
        <v>198</v>
      </c>
      <c r="B27" s="236"/>
      <c r="C27" s="280"/>
      <c r="D27" s="281"/>
      <c r="E27" s="288">
        <v>1</v>
      </c>
      <c r="F27" s="263">
        <f t="shared" si="6"/>
        <v>0</v>
      </c>
      <c r="G27" s="236">
        <f t="shared" ref="G27:G28" si="7">F27*1.21</f>
        <v>0</v>
      </c>
      <c r="H27" s="289"/>
      <c r="I27" s="264">
        <v>0.21</v>
      </c>
      <c r="J27" s="234"/>
      <c r="K27" s="232"/>
    </row>
    <row r="28" spans="1:248" s="223" customFormat="1" ht="16">
      <c r="A28" s="270" t="s">
        <v>183</v>
      </c>
      <c r="B28" s="236"/>
      <c r="C28" s="280"/>
      <c r="D28" s="281"/>
      <c r="E28" s="288">
        <v>1</v>
      </c>
      <c r="F28" s="263">
        <f t="shared" si="6"/>
        <v>0</v>
      </c>
      <c r="G28" s="236">
        <f t="shared" si="7"/>
        <v>0</v>
      </c>
      <c r="H28" s="289"/>
      <c r="I28" s="264">
        <v>0.21</v>
      </c>
      <c r="J28" s="234"/>
      <c r="K28" s="232"/>
    </row>
    <row r="29" spans="1:248" s="223" customFormat="1" ht="16">
      <c r="A29" s="278" t="s">
        <v>187</v>
      </c>
      <c r="B29" s="279"/>
      <c r="C29" s="280"/>
      <c r="D29" s="281"/>
      <c r="E29" s="290"/>
      <c r="F29" s="283">
        <f>SUM(F20:F28)</f>
        <v>0</v>
      </c>
      <c r="G29" s="284">
        <f>F29*1.21</f>
        <v>0</v>
      </c>
      <c r="H29" s="284"/>
      <c r="I29" s="285">
        <f>G29-F29</f>
        <v>0</v>
      </c>
      <c r="J29" s="234"/>
      <c r="K29" s="232"/>
    </row>
    <row r="30" spans="1:248" s="223" customFormat="1" ht="16">
      <c r="A30" s="278"/>
      <c r="B30" s="279"/>
      <c r="C30" s="280"/>
      <c r="D30" s="281"/>
      <c r="E30" s="290"/>
      <c r="F30" s="283"/>
      <c r="G30" s="284"/>
      <c r="H30" s="284"/>
      <c r="I30" s="285"/>
      <c r="J30" s="234"/>
      <c r="K30" s="232"/>
    </row>
    <row r="31" spans="1:248" ht="17" thickBot="1">
      <c r="A31" s="291" t="s">
        <v>184</v>
      </c>
      <c r="B31" s="292"/>
      <c r="C31" s="293"/>
      <c r="D31" s="293"/>
      <c r="E31" s="294"/>
      <c r="F31" s="295">
        <f>F29+F13+F17</f>
        <v>0</v>
      </c>
      <c r="G31" s="295">
        <f>F31*1.21</f>
        <v>0</v>
      </c>
      <c r="H31" s="296"/>
      <c r="I31" s="297">
        <f>G31-F31</f>
        <v>0</v>
      </c>
      <c r="J31" s="240"/>
      <c r="K31" s="240"/>
    </row>
    <row r="32" spans="1:248" ht="18">
      <c r="A32" s="3"/>
      <c r="B32" s="238"/>
      <c r="C32" s="3"/>
      <c r="D32" s="3"/>
      <c r="E32" s="239"/>
      <c r="F32" s="241"/>
      <c r="G32" s="3"/>
      <c r="H32" s="3"/>
      <c r="I32" s="3"/>
      <c r="J32" s="242"/>
      <c r="K32" s="243"/>
    </row>
  </sheetData>
  <phoneticPr fontId="25" type="noConversion"/>
  <printOptions horizontalCentered="1" verticalCentered="1"/>
  <pageMargins left="0.78740157480314965" right="0.74803149606299213" top="0.51181102362204722" bottom="0.47244094488188981" header="0.51181102362204722" footer="0.27559055118110237"/>
  <pageSetup paperSize="9" scale="70" firstPageNumber="0" orientation="landscape" horizontalDpi="300" verticalDpi="300"/>
  <headerFooter alignWithMargins="0"/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 enableFormatConditionsCalculation="0"/>
  <dimension ref="A1:M74"/>
  <sheetViews>
    <sheetView topLeftCell="A40" zoomScale="75" zoomScaleNormal="75" zoomScaleSheetLayoutView="75" zoomScalePageLayoutView="75" workbookViewId="0">
      <selection activeCell="E32" sqref="E32"/>
    </sheetView>
  </sheetViews>
  <sheetFormatPr baseColWidth="10" defaultColWidth="8.7109375" defaultRowHeight="13" x14ac:dyDescent="0"/>
  <cols>
    <col min="2" max="2" width="61" customWidth="1"/>
    <col min="3" max="3" width="13.28515625" customWidth="1"/>
    <col min="4" max="8" width="10.7109375" customWidth="1"/>
    <col min="9" max="9" width="11.5703125" style="5" customWidth="1"/>
    <col min="10" max="10" width="18.5703125" style="5" customWidth="1"/>
    <col min="11" max="11" width="3.140625" style="5" customWidth="1"/>
    <col min="12" max="12" width="10.7109375" style="5" customWidth="1"/>
    <col min="13" max="13" width="19.28515625" style="5" customWidth="1"/>
  </cols>
  <sheetData>
    <row r="1" spans="2:13" s="8" customFormat="1" ht="18">
      <c r="B1" s="9" t="s">
        <v>5</v>
      </c>
      <c r="C1" s="10">
        <v>150</v>
      </c>
      <c r="I1" s="11"/>
      <c r="J1" s="11"/>
      <c r="K1" s="11"/>
      <c r="L1" s="11"/>
      <c r="M1" s="11"/>
    </row>
    <row r="2" spans="2:13" s="8" customFormat="1" ht="18">
      <c r="B2" s="9" t="s">
        <v>6</v>
      </c>
      <c r="C2" s="10">
        <v>5</v>
      </c>
      <c r="I2" s="12"/>
      <c r="J2" s="12"/>
      <c r="K2" s="12"/>
      <c r="L2" s="12"/>
      <c r="M2" s="12"/>
    </row>
    <row r="3" spans="2:13">
      <c r="B3" t="s">
        <v>7</v>
      </c>
      <c r="C3" s="13" t="e">
        <f>SUM(#REF!)+SUM(#REF!)+SUM(#REF!)</f>
        <v>#REF!</v>
      </c>
    </row>
    <row r="4" spans="2:13">
      <c r="B4" t="s">
        <v>8</v>
      </c>
      <c r="C4" s="13" t="e">
        <f>SUM(#REF!)+#REF!</f>
        <v>#REF!</v>
      </c>
    </row>
    <row r="5" spans="2:13">
      <c r="B5" t="s">
        <v>9</v>
      </c>
      <c r="C5" s="13" t="e">
        <f>SUM(#REF!)</f>
        <v>#REF!</v>
      </c>
    </row>
    <row r="6" spans="2:13">
      <c r="B6" t="s">
        <v>10</v>
      </c>
      <c r="C6" s="13" t="e">
        <f>SUM(#REF!)</f>
        <v>#REF!</v>
      </c>
    </row>
    <row r="7" spans="2:13">
      <c r="B7" t="s">
        <v>11</v>
      </c>
      <c r="C7" s="14">
        <v>70</v>
      </c>
    </row>
    <row r="8" spans="2:13">
      <c r="B8" t="s">
        <v>12</v>
      </c>
      <c r="C8" s="14">
        <v>40</v>
      </c>
    </row>
    <row r="9" spans="2:13">
      <c r="B9" t="s">
        <v>13</v>
      </c>
      <c r="C9" s="15">
        <v>350</v>
      </c>
    </row>
    <row r="10" spans="2:13">
      <c r="B10" t="s">
        <v>14</v>
      </c>
      <c r="C10" s="15">
        <v>10</v>
      </c>
    </row>
    <row r="11" spans="2:13" s="16" customFormat="1">
      <c r="C11" s="7"/>
      <c r="I11" s="17"/>
      <c r="J11" s="17"/>
      <c r="K11" s="17"/>
      <c r="L11" s="17"/>
      <c r="M11" s="17"/>
    </row>
    <row r="12" spans="2:13" s="16" customFormat="1">
      <c r="B12" s="16" t="s">
        <v>15</v>
      </c>
      <c r="C12" s="7" t="e">
        <f>SUM(#REF!)</f>
        <v>#REF!</v>
      </c>
      <c r="I12" s="17"/>
      <c r="J12" s="17"/>
      <c r="K12" s="17"/>
      <c r="L12" s="17"/>
      <c r="M12" s="17"/>
    </row>
    <row r="13" spans="2:13" s="16" customFormat="1">
      <c r="B13" s="16" t="s">
        <v>16</v>
      </c>
      <c r="C13" s="7" t="e">
        <f>SUM(#REF!)</f>
        <v>#REF!</v>
      </c>
      <c r="I13" s="17"/>
      <c r="J13" s="17"/>
      <c r="K13" s="17"/>
      <c r="L13" s="17"/>
      <c r="M13" s="17"/>
    </row>
    <row r="14" spans="2:13" s="16" customFormat="1">
      <c r="B14" s="16" t="s">
        <v>17</v>
      </c>
      <c r="C14" s="18">
        <v>0</v>
      </c>
      <c r="I14" s="17"/>
      <c r="J14" s="17"/>
      <c r="K14" s="17"/>
      <c r="L14" s="17"/>
      <c r="M14" s="17"/>
    </row>
    <row r="15" spans="2:13" s="16" customFormat="1">
      <c r="B15" s="16" t="s">
        <v>18</v>
      </c>
      <c r="C15" s="18">
        <v>1</v>
      </c>
      <c r="I15" s="17"/>
      <c r="J15" s="17"/>
      <c r="K15" s="17"/>
      <c r="L15" s="17"/>
      <c r="M15" s="17"/>
    </row>
    <row r="16" spans="2:13" s="16" customFormat="1">
      <c r="B16" s="16" t="s">
        <v>19</v>
      </c>
      <c r="C16" s="16" t="e">
        <f>IF(#REF!,ABS(IF(SUM(#REF!)-SUM(#REF!),(SUM(#REF!)-SUM(#REF!))*1.5+SUM(#REF!),SUM(#REF!))),0.2*SUM(#REF!))</f>
        <v>#REF!</v>
      </c>
      <c r="D16" s="16" t="s">
        <v>20</v>
      </c>
      <c r="I16" s="17"/>
      <c r="J16" s="17"/>
      <c r="K16" s="17"/>
      <c r="L16" s="17"/>
      <c r="M16" s="17"/>
    </row>
    <row r="18" spans="1:13">
      <c r="B18" s="19"/>
      <c r="C18" s="20"/>
      <c r="D18" s="21" t="s">
        <v>21</v>
      </c>
      <c r="E18" s="22"/>
      <c r="F18" s="22"/>
      <c r="G18" s="22"/>
      <c r="H18" s="23"/>
      <c r="I18" s="322" t="s">
        <v>22</v>
      </c>
      <c r="J18" s="322"/>
      <c r="K18" s="24"/>
      <c r="L18" s="21" t="s">
        <v>23</v>
      </c>
      <c r="M18" s="25"/>
    </row>
    <row r="19" spans="1:13">
      <c r="B19" s="26"/>
      <c r="C19" s="27"/>
      <c r="D19" s="28" t="s">
        <v>24</v>
      </c>
      <c r="E19" s="22" t="s">
        <v>1</v>
      </c>
      <c r="F19" s="22" t="s">
        <v>25</v>
      </c>
      <c r="G19" s="22" t="s">
        <v>26</v>
      </c>
      <c r="H19" s="23" t="s">
        <v>27</v>
      </c>
      <c r="I19" s="28" t="s">
        <v>28</v>
      </c>
      <c r="J19" s="25" t="s">
        <v>27</v>
      </c>
      <c r="K19" s="22"/>
      <c r="L19" s="28" t="s">
        <v>28</v>
      </c>
      <c r="M19" s="25" t="s">
        <v>27</v>
      </c>
    </row>
    <row r="20" spans="1:13">
      <c r="B20" s="29" t="s">
        <v>29</v>
      </c>
      <c r="C20" s="5"/>
      <c r="D20" s="30">
        <v>2</v>
      </c>
      <c r="E20" s="5">
        <v>1</v>
      </c>
      <c r="F20" s="5">
        <v>60</v>
      </c>
      <c r="G20" s="31">
        <f t="shared" ref="G20:G26" si="0">E20*F20/60</f>
        <v>1</v>
      </c>
      <c r="H20" s="32">
        <v>0</v>
      </c>
      <c r="I20" s="33" t="e">
        <f>IF(SUM(C$3:C$6)+SUM(C$12:C$13),D20*G20,0)</f>
        <v>#REF!</v>
      </c>
      <c r="J20" s="34">
        <f t="shared" ref="J20:J37" si="1">H20</f>
        <v>0</v>
      </c>
      <c r="K20" s="35"/>
      <c r="L20" s="33" t="e">
        <f>IF(SUM(C$3:C$6)+SUM(C$12:C$13),D20*G20,0)</f>
        <v>#REF!</v>
      </c>
      <c r="M20" s="34">
        <f t="shared" ref="M20:M26" si="2">H20</f>
        <v>0</v>
      </c>
    </row>
    <row r="21" spans="1:13">
      <c r="B21" s="29" t="s">
        <v>30</v>
      </c>
      <c r="C21" s="5"/>
      <c r="D21" s="30">
        <v>2</v>
      </c>
      <c r="E21" s="5">
        <v>1</v>
      </c>
      <c r="F21" s="5">
        <v>60</v>
      </c>
      <c r="G21" s="31">
        <f t="shared" si="0"/>
        <v>1</v>
      </c>
      <c r="H21" s="32">
        <v>0</v>
      </c>
      <c r="I21" s="33" t="e">
        <f>IF(SUM(C$3:C$6)+SUM(C$12:C$13),D21*G21,0)</f>
        <v>#REF!</v>
      </c>
      <c r="J21" s="34">
        <f t="shared" si="1"/>
        <v>0</v>
      </c>
      <c r="K21" s="35"/>
      <c r="L21" s="33" t="e">
        <f>IF(SUM(C$3:C$6)+SUM(C$12:C$13),D21*G21,0)</f>
        <v>#REF!</v>
      </c>
      <c r="M21" s="34">
        <f t="shared" si="2"/>
        <v>0</v>
      </c>
    </row>
    <row r="22" spans="1:13">
      <c r="B22" s="29" t="s">
        <v>31</v>
      </c>
      <c r="C22" s="5"/>
      <c r="D22" s="36">
        <v>1</v>
      </c>
      <c r="E22" s="3">
        <v>1</v>
      </c>
      <c r="F22" s="5">
        <v>45</v>
      </c>
      <c r="G22" s="31">
        <f t="shared" si="0"/>
        <v>0.75</v>
      </c>
      <c r="H22" s="32"/>
      <c r="I22" s="33"/>
      <c r="J22" s="34">
        <f t="shared" si="1"/>
        <v>0</v>
      </c>
      <c r="K22" s="35"/>
      <c r="L22" s="33" t="e">
        <f>IF(SUM(C$3:C$6),D22*G22,0)</f>
        <v>#REF!</v>
      </c>
      <c r="M22" s="34">
        <f t="shared" si="2"/>
        <v>0</v>
      </c>
    </row>
    <row r="23" spans="1:13">
      <c r="B23" s="29" t="s">
        <v>32</v>
      </c>
      <c r="C23" s="5"/>
      <c r="D23" s="36">
        <v>1</v>
      </c>
      <c r="E23" s="3">
        <v>1</v>
      </c>
      <c r="F23" s="5">
        <v>45</v>
      </c>
      <c r="G23" s="31">
        <f t="shared" si="0"/>
        <v>0.75</v>
      </c>
      <c r="H23" s="32"/>
      <c r="I23" s="33"/>
      <c r="J23" s="34">
        <f t="shared" si="1"/>
        <v>0</v>
      </c>
      <c r="K23" s="35"/>
      <c r="L23" s="33" t="e">
        <f>IF(SUM(C$3:C$6),D23*G23,0)</f>
        <v>#REF!</v>
      </c>
      <c r="M23" s="34">
        <f t="shared" si="2"/>
        <v>0</v>
      </c>
    </row>
    <row r="24" spans="1:13">
      <c r="B24" s="29" t="s">
        <v>33</v>
      </c>
      <c r="C24" s="5"/>
      <c r="D24" s="30">
        <v>1</v>
      </c>
      <c r="E24" s="3" t="e">
        <f>C12</f>
        <v>#REF!</v>
      </c>
      <c r="F24" s="5">
        <f>10/D24</f>
        <v>10</v>
      </c>
      <c r="G24" s="31" t="e">
        <f t="shared" si="0"/>
        <v>#REF!</v>
      </c>
      <c r="H24" s="32"/>
      <c r="I24" s="33"/>
      <c r="J24" s="34">
        <f t="shared" si="1"/>
        <v>0</v>
      </c>
      <c r="K24" s="35"/>
      <c r="L24" s="33" t="e">
        <f>IF(SUM(C$3:C$6),D24*G24,0)</f>
        <v>#REF!</v>
      </c>
      <c r="M24" s="34">
        <f t="shared" si="2"/>
        <v>0</v>
      </c>
    </row>
    <row r="25" spans="1:13">
      <c r="B25" s="29" t="s">
        <v>34</v>
      </c>
      <c r="C25" s="5"/>
      <c r="D25" s="30">
        <v>1</v>
      </c>
      <c r="E25" s="3" t="e">
        <f>C13</f>
        <v>#REF!</v>
      </c>
      <c r="F25" s="5">
        <f>15/D25</f>
        <v>15</v>
      </c>
      <c r="G25" s="31" t="e">
        <f t="shared" si="0"/>
        <v>#REF!</v>
      </c>
      <c r="H25" s="32"/>
      <c r="I25" s="33"/>
      <c r="J25" s="34">
        <f t="shared" si="1"/>
        <v>0</v>
      </c>
      <c r="K25" s="35"/>
      <c r="L25" s="33" t="e">
        <f>IF(SUM(C$3:C$6),D25*G25,0)</f>
        <v>#REF!</v>
      </c>
      <c r="M25" s="34">
        <f t="shared" si="2"/>
        <v>0</v>
      </c>
    </row>
    <row r="26" spans="1:13">
      <c r="B26" s="29" t="s">
        <v>35</v>
      </c>
      <c r="C26" s="5"/>
      <c r="D26" s="30">
        <v>2</v>
      </c>
      <c r="E26" s="3" t="e">
        <f>C4</f>
        <v>#REF!</v>
      </c>
      <c r="F26" s="5">
        <v>7</v>
      </c>
      <c r="G26" s="31" t="e">
        <f t="shared" si="0"/>
        <v>#REF!</v>
      </c>
      <c r="H26" s="32"/>
      <c r="I26" s="33"/>
      <c r="J26" s="34">
        <f t="shared" si="1"/>
        <v>0</v>
      </c>
      <c r="K26" s="35"/>
      <c r="L26" s="33" t="e">
        <f>IF(SUM(C$3:C$6),D26*G26,0)</f>
        <v>#REF!</v>
      </c>
      <c r="M26" s="34">
        <f t="shared" si="2"/>
        <v>0</v>
      </c>
    </row>
    <row r="27" spans="1:13">
      <c r="B27" s="29" t="s">
        <v>36</v>
      </c>
      <c r="C27" s="5"/>
      <c r="D27" s="30">
        <v>2</v>
      </c>
      <c r="E27" s="5">
        <v>1</v>
      </c>
      <c r="F27" s="5"/>
      <c r="G27" s="37">
        <f>E27*($C$1/$C$7)</f>
        <v>2.1428571428571428</v>
      </c>
      <c r="H27" s="32">
        <f>E27*$C$1</f>
        <v>150</v>
      </c>
      <c r="I27" s="33" t="e">
        <f>IF(SUM(C$3:C$6)+SUM(C$12:C$13),D27*G27,0)</f>
        <v>#REF!</v>
      </c>
      <c r="J27" s="34">
        <f t="shared" si="1"/>
        <v>150</v>
      </c>
      <c r="K27" s="35"/>
      <c r="L27" s="33"/>
      <c r="M27" s="34"/>
    </row>
    <row r="28" spans="1:13">
      <c r="B28" s="38" t="s">
        <v>37</v>
      </c>
      <c r="C28" s="39"/>
      <c r="D28" s="40">
        <f>$D$27</f>
        <v>2</v>
      </c>
      <c r="E28" s="39">
        <v>1</v>
      </c>
      <c r="F28" s="39"/>
      <c r="G28" s="31" t="e">
        <f>E28*($C$2/3/$C$8+$C$4*0.1)</f>
        <v>#REF!</v>
      </c>
      <c r="H28" s="41">
        <f>E28*$C$2*4</f>
        <v>20</v>
      </c>
      <c r="I28" s="42" t="e">
        <f>D28*G28</f>
        <v>#REF!</v>
      </c>
      <c r="J28" s="43">
        <f t="shared" si="1"/>
        <v>20</v>
      </c>
      <c r="K28" s="44"/>
      <c r="L28" s="42" t="e">
        <f>D28*G28</f>
        <v>#REF!</v>
      </c>
      <c r="M28" s="34">
        <f>H28</f>
        <v>20</v>
      </c>
    </row>
    <row r="29" spans="1:13">
      <c r="B29" s="29" t="s">
        <v>38</v>
      </c>
      <c r="C29" s="5"/>
      <c r="D29" s="40">
        <f t="shared" ref="D29:D56" si="3">$D$27</f>
        <v>2</v>
      </c>
      <c r="E29" s="5">
        <v>1</v>
      </c>
      <c r="F29" s="5">
        <v>30</v>
      </c>
      <c r="G29" s="31">
        <f>E29*F29/60</f>
        <v>0.5</v>
      </c>
      <c r="H29" s="32">
        <v>0</v>
      </c>
      <c r="I29" s="33" t="e">
        <f>IF(SUM(C$3:C$6)+SUM(C$12:C$13),D29*G29,0)</f>
        <v>#REF!</v>
      </c>
      <c r="J29" s="34">
        <f t="shared" si="1"/>
        <v>0</v>
      </c>
      <c r="K29" s="35"/>
      <c r="L29" s="33"/>
      <c r="M29" s="34"/>
    </row>
    <row r="30" spans="1:13">
      <c r="B30" s="29" t="s">
        <v>39</v>
      </c>
      <c r="C30" s="5"/>
      <c r="D30" s="40">
        <f t="shared" si="3"/>
        <v>2</v>
      </c>
      <c r="E30" s="3" t="e">
        <f>C4</f>
        <v>#REF!</v>
      </c>
      <c r="F30" s="5">
        <f>10/D30</f>
        <v>5</v>
      </c>
      <c r="G30" s="31" t="e">
        <f>E30*F30/60</f>
        <v>#REF!</v>
      </c>
      <c r="H30" s="32">
        <v>0</v>
      </c>
      <c r="I30" s="33" t="e">
        <f>IF(SUM(C$3:C$6)+SUM(C$12:C$13),D30*G30,0)</f>
        <v>#REF!</v>
      </c>
      <c r="J30" s="34">
        <f t="shared" si="1"/>
        <v>0</v>
      </c>
      <c r="K30" s="35"/>
      <c r="L30" s="33"/>
      <c r="M30" s="34"/>
    </row>
    <row r="31" spans="1:13">
      <c r="B31" s="38" t="s">
        <v>40</v>
      </c>
      <c r="C31" s="39"/>
      <c r="D31" s="40">
        <f t="shared" si="3"/>
        <v>2</v>
      </c>
      <c r="E31" s="45" t="e">
        <f>C5</f>
        <v>#REF!</v>
      </c>
      <c r="F31" s="39">
        <f>5/D31</f>
        <v>2.5</v>
      </c>
      <c r="G31" s="46" t="e">
        <f>E31*F31/60</f>
        <v>#REF!</v>
      </c>
      <c r="H31" s="41">
        <v>0</v>
      </c>
      <c r="I31" s="33" t="e">
        <f>IF(SUM(C$3:C$6)+SUM(C$12:C$13),D31*G31,0)</f>
        <v>#REF!</v>
      </c>
      <c r="J31" s="34">
        <f t="shared" si="1"/>
        <v>0</v>
      </c>
      <c r="K31" s="35"/>
      <c r="L31" s="33"/>
      <c r="M31" s="34"/>
    </row>
    <row r="32" spans="1:13">
      <c r="A32" t="s">
        <v>41</v>
      </c>
      <c r="B32" s="29" t="s">
        <v>42</v>
      </c>
      <c r="C32" s="5"/>
      <c r="D32" s="40">
        <f t="shared" si="3"/>
        <v>2</v>
      </c>
      <c r="E32" s="3" t="e">
        <f t="shared" ref="E32:E37" si="4">$C$3</f>
        <v>#REF!</v>
      </c>
      <c r="F32" s="5">
        <f>10/D32</f>
        <v>5</v>
      </c>
      <c r="G32" s="31" t="e">
        <f t="shared" ref="G32:G37" si="5">E32*F32/60</f>
        <v>#REF!</v>
      </c>
      <c r="H32" s="32">
        <v>0</v>
      </c>
      <c r="I32" s="47" t="e">
        <f t="shared" ref="I32:I56" si="6">D32*G32</f>
        <v>#REF!</v>
      </c>
      <c r="J32" s="48">
        <f t="shared" si="1"/>
        <v>0</v>
      </c>
      <c r="K32" s="49"/>
      <c r="L32" s="47"/>
      <c r="M32" s="34"/>
    </row>
    <row r="33" spans="1:13">
      <c r="B33" s="29" t="s">
        <v>43</v>
      </c>
      <c r="C33" s="5"/>
      <c r="D33" s="40">
        <f t="shared" si="3"/>
        <v>2</v>
      </c>
      <c r="E33" s="3" t="e">
        <f t="shared" si="4"/>
        <v>#REF!</v>
      </c>
      <c r="F33" s="5"/>
      <c r="G33" s="31" t="e">
        <f>E33*($C$2/3/$C$8)</f>
        <v>#REF!</v>
      </c>
      <c r="H33" s="50" t="e">
        <f>E33*$C$2/3</f>
        <v>#REF!</v>
      </c>
      <c r="I33" s="47" t="e">
        <f t="shared" si="6"/>
        <v>#REF!</v>
      </c>
      <c r="J33" s="48" t="e">
        <f t="shared" si="1"/>
        <v>#REF!</v>
      </c>
      <c r="K33" s="49"/>
      <c r="L33" s="47"/>
      <c r="M33" s="34"/>
    </row>
    <row r="34" spans="1:13">
      <c r="B34" s="29" t="s">
        <v>44</v>
      </c>
      <c r="C34" s="5"/>
      <c r="D34" s="40">
        <f t="shared" si="3"/>
        <v>2</v>
      </c>
      <c r="E34" s="3" t="e">
        <f t="shared" si="4"/>
        <v>#REF!</v>
      </c>
      <c r="F34" s="5">
        <v>30</v>
      </c>
      <c r="G34" s="31" t="e">
        <f t="shared" si="5"/>
        <v>#REF!</v>
      </c>
      <c r="H34" s="32">
        <v>0</v>
      </c>
      <c r="I34" s="47" t="e">
        <f t="shared" si="6"/>
        <v>#REF!</v>
      </c>
      <c r="J34" s="48">
        <f t="shared" si="1"/>
        <v>0</v>
      </c>
      <c r="K34" s="49"/>
      <c r="L34" s="47"/>
      <c r="M34" s="34"/>
    </row>
    <row r="35" spans="1:13">
      <c r="B35" s="29" t="s">
        <v>45</v>
      </c>
      <c r="C35" s="5"/>
      <c r="D35" s="40">
        <f t="shared" si="3"/>
        <v>2</v>
      </c>
      <c r="E35" s="3" t="e">
        <f t="shared" si="4"/>
        <v>#REF!</v>
      </c>
      <c r="F35" s="5">
        <v>300</v>
      </c>
      <c r="G35" s="31" t="e">
        <f t="shared" si="5"/>
        <v>#REF!</v>
      </c>
      <c r="H35" s="32">
        <v>0</v>
      </c>
      <c r="I35" s="47" t="e">
        <f t="shared" si="6"/>
        <v>#REF!</v>
      </c>
      <c r="J35" s="48">
        <f t="shared" si="1"/>
        <v>0</v>
      </c>
      <c r="K35" s="49"/>
      <c r="L35" s="47"/>
      <c r="M35" s="34"/>
    </row>
    <row r="36" spans="1:13">
      <c r="B36" s="29" t="s">
        <v>46</v>
      </c>
      <c r="C36" s="5"/>
      <c r="D36" s="40">
        <f t="shared" si="3"/>
        <v>2</v>
      </c>
      <c r="E36" s="3" t="e">
        <f t="shared" si="4"/>
        <v>#REF!</v>
      </c>
      <c r="F36" s="5">
        <v>120</v>
      </c>
      <c r="G36" s="31" t="e">
        <f t="shared" si="5"/>
        <v>#REF!</v>
      </c>
      <c r="H36" s="32">
        <v>0</v>
      </c>
      <c r="I36" s="47" t="e">
        <f t="shared" si="6"/>
        <v>#REF!</v>
      </c>
      <c r="J36" s="48">
        <f t="shared" si="1"/>
        <v>0</v>
      </c>
      <c r="K36" s="49"/>
      <c r="L36" s="47"/>
      <c r="M36" s="34"/>
    </row>
    <row r="37" spans="1:13">
      <c r="B37" s="38" t="s">
        <v>47</v>
      </c>
      <c r="C37" s="39"/>
      <c r="D37" s="40">
        <f t="shared" si="3"/>
        <v>2</v>
      </c>
      <c r="E37" s="3" t="e">
        <f t="shared" si="4"/>
        <v>#REF!</v>
      </c>
      <c r="F37" s="5">
        <v>30</v>
      </c>
      <c r="G37" s="31" t="e">
        <f t="shared" si="5"/>
        <v>#REF!</v>
      </c>
      <c r="H37" s="41">
        <v>0</v>
      </c>
      <c r="I37" s="47" t="e">
        <f t="shared" si="6"/>
        <v>#REF!</v>
      </c>
      <c r="J37" s="48">
        <f t="shared" si="1"/>
        <v>0</v>
      </c>
      <c r="K37" s="49"/>
      <c r="L37" s="47"/>
      <c r="M37" s="34"/>
    </row>
    <row r="38" spans="1:13">
      <c r="A38" t="s">
        <v>48</v>
      </c>
      <c r="B38" s="29" t="s">
        <v>49</v>
      </c>
      <c r="C38" s="5"/>
      <c r="D38" s="40">
        <f t="shared" si="3"/>
        <v>2</v>
      </c>
      <c r="E38" s="3" t="e">
        <f>$C$14*$C$4/4</f>
        <v>#REF!</v>
      </c>
      <c r="F38" s="5">
        <f>10/D38</f>
        <v>5</v>
      </c>
      <c r="G38" s="31" t="e">
        <f>E38*F38/60</f>
        <v>#REF!</v>
      </c>
      <c r="H38" s="32">
        <v>0</v>
      </c>
      <c r="I38" s="47" t="e">
        <f t="shared" si="6"/>
        <v>#REF!</v>
      </c>
      <c r="J38" s="34">
        <f t="shared" ref="J38:J49" si="7">H38</f>
        <v>0</v>
      </c>
      <c r="K38" s="35"/>
      <c r="L38" s="33"/>
      <c r="M38" s="34"/>
    </row>
    <row r="39" spans="1:13">
      <c r="B39" s="29" t="s">
        <v>50</v>
      </c>
      <c r="C39" s="5"/>
      <c r="D39" s="40">
        <f t="shared" si="3"/>
        <v>2</v>
      </c>
      <c r="E39" s="3" t="e">
        <f>$C$14*$C$4/4</f>
        <v>#REF!</v>
      </c>
      <c r="F39" s="5"/>
      <c r="G39" s="31" t="e">
        <f>E39*$C$2/3/$C$8</f>
        <v>#REF!</v>
      </c>
      <c r="H39" s="51" t="e">
        <f>E39*$C$2/2</f>
        <v>#REF!</v>
      </c>
      <c r="I39" s="47" t="e">
        <f t="shared" si="6"/>
        <v>#REF!</v>
      </c>
      <c r="J39" s="34" t="e">
        <f t="shared" si="7"/>
        <v>#REF!</v>
      </c>
      <c r="K39" s="35"/>
      <c r="L39" s="33"/>
      <c r="M39" s="34"/>
    </row>
    <row r="40" spans="1:13">
      <c r="B40" s="29" t="s">
        <v>51</v>
      </c>
      <c r="C40" s="5" t="s">
        <v>52</v>
      </c>
      <c r="D40" s="40">
        <f t="shared" si="3"/>
        <v>2</v>
      </c>
      <c r="E40" s="3" t="e">
        <f>$C$14*$C$4</f>
        <v>#REF!</v>
      </c>
      <c r="F40" s="5">
        <f>10/D40</f>
        <v>5</v>
      </c>
      <c r="G40" s="31" t="e">
        <f>E40*F40/60</f>
        <v>#REF!</v>
      </c>
      <c r="H40" s="32">
        <v>0</v>
      </c>
      <c r="I40" s="47" t="e">
        <f t="shared" si="6"/>
        <v>#REF!</v>
      </c>
      <c r="J40" s="34">
        <f t="shared" si="7"/>
        <v>0</v>
      </c>
      <c r="K40" s="35"/>
      <c r="L40" s="33"/>
      <c r="M40" s="34"/>
    </row>
    <row r="41" spans="1:13">
      <c r="B41" s="29" t="s">
        <v>53</v>
      </c>
      <c r="C41" s="5"/>
      <c r="D41" s="40">
        <f t="shared" si="3"/>
        <v>2</v>
      </c>
      <c r="E41" s="3" t="e">
        <f>$C$14*$C$4</f>
        <v>#REF!</v>
      </c>
      <c r="F41" s="5">
        <f>240/D41</f>
        <v>120</v>
      </c>
      <c r="G41" s="31" t="e">
        <f>E41*F41/60</f>
        <v>#REF!</v>
      </c>
      <c r="H41" s="32">
        <v>0</v>
      </c>
      <c r="I41" s="47" t="e">
        <f t="shared" si="6"/>
        <v>#REF!</v>
      </c>
      <c r="J41" s="34">
        <f t="shared" si="7"/>
        <v>0</v>
      </c>
      <c r="K41" s="35"/>
      <c r="L41" s="33"/>
      <c r="M41" s="34"/>
    </row>
    <row r="42" spans="1:13">
      <c r="B42" s="29" t="s">
        <v>54</v>
      </c>
      <c r="C42" s="5"/>
      <c r="D42" s="40">
        <f t="shared" si="3"/>
        <v>2</v>
      </c>
      <c r="E42" s="3" t="e">
        <f>$C$14*$C$4</f>
        <v>#REF!</v>
      </c>
      <c r="F42" s="5">
        <f>10/D42</f>
        <v>5</v>
      </c>
      <c r="G42" s="31" t="e">
        <f>E42*F42/60</f>
        <v>#REF!</v>
      </c>
      <c r="H42" s="32">
        <v>0</v>
      </c>
      <c r="I42" s="47" t="e">
        <f t="shared" si="6"/>
        <v>#REF!</v>
      </c>
      <c r="J42" s="34">
        <f t="shared" si="7"/>
        <v>0</v>
      </c>
      <c r="K42" s="35"/>
      <c r="L42" s="33"/>
      <c r="M42" s="34"/>
    </row>
    <row r="43" spans="1:13">
      <c r="B43" s="38" t="s">
        <v>55</v>
      </c>
      <c r="C43" s="39"/>
      <c r="D43" s="40">
        <f t="shared" si="3"/>
        <v>2</v>
      </c>
      <c r="E43" s="3" t="e">
        <f>$C$14*$C$4/4</f>
        <v>#REF!</v>
      </c>
      <c r="F43" s="39"/>
      <c r="G43" s="31" t="e">
        <f>E43*$C$2/3/$C$8</f>
        <v>#REF!</v>
      </c>
      <c r="H43" s="52" t="e">
        <f>E43*$C$2/2</f>
        <v>#REF!</v>
      </c>
      <c r="I43" s="47" t="e">
        <f t="shared" si="6"/>
        <v>#REF!</v>
      </c>
      <c r="J43" s="43" t="e">
        <f t="shared" si="7"/>
        <v>#REF!</v>
      </c>
      <c r="K43" s="44"/>
      <c r="L43" s="42"/>
      <c r="M43" s="34"/>
    </row>
    <row r="44" spans="1:13">
      <c r="A44" t="s">
        <v>48</v>
      </c>
      <c r="B44" s="29" t="s">
        <v>56</v>
      </c>
      <c r="C44" s="5"/>
      <c r="D44" s="40">
        <f t="shared" si="3"/>
        <v>2</v>
      </c>
      <c r="E44" s="3" t="e">
        <f>$C$15*$C$4/5</f>
        <v>#REF!</v>
      </c>
      <c r="F44" s="5">
        <f>10/D44</f>
        <v>5</v>
      </c>
      <c r="G44" s="31" t="e">
        <f>E44*F44/60</f>
        <v>#REF!</v>
      </c>
      <c r="H44" s="32">
        <v>0</v>
      </c>
      <c r="I44" s="47" t="e">
        <f t="shared" si="6"/>
        <v>#REF!</v>
      </c>
      <c r="J44" s="34">
        <f t="shared" si="7"/>
        <v>0</v>
      </c>
      <c r="K44" s="35"/>
      <c r="L44" s="33"/>
      <c r="M44" s="34"/>
    </row>
    <row r="45" spans="1:13">
      <c r="B45" s="29" t="s">
        <v>57</v>
      </c>
      <c r="C45" s="5"/>
      <c r="D45" s="40">
        <f t="shared" si="3"/>
        <v>2</v>
      </c>
      <c r="E45" s="3" t="e">
        <f>$C$15*$C$4/5</f>
        <v>#REF!</v>
      </c>
      <c r="F45" s="5"/>
      <c r="G45" s="31" t="e">
        <f>E45*$C$2/3/$C$8</f>
        <v>#REF!</v>
      </c>
      <c r="H45" s="51" t="e">
        <f>E45*$C$2/2</f>
        <v>#REF!</v>
      </c>
      <c r="I45" s="47" t="e">
        <f t="shared" si="6"/>
        <v>#REF!</v>
      </c>
      <c r="J45" s="34" t="e">
        <f t="shared" si="7"/>
        <v>#REF!</v>
      </c>
      <c r="K45" s="35"/>
      <c r="L45" s="33"/>
      <c r="M45" s="34"/>
    </row>
    <row r="46" spans="1:13">
      <c r="B46" s="29" t="s">
        <v>51</v>
      </c>
      <c r="C46" s="5" t="s">
        <v>52</v>
      </c>
      <c r="D46" s="40">
        <f t="shared" si="3"/>
        <v>2</v>
      </c>
      <c r="E46" s="3" t="e">
        <f>$C$15*$C$4</f>
        <v>#REF!</v>
      </c>
      <c r="F46" s="5">
        <f>10/D46</f>
        <v>5</v>
      </c>
      <c r="G46" s="31" t="e">
        <f>E46*F46/60</f>
        <v>#REF!</v>
      </c>
      <c r="H46" s="32">
        <v>0</v>
      </c>
      <c r="I46" s="47" t="e">
        <f t="shared" si="6"/>
        <v>#REF!</v>
      </c>
      <c r="J46" s="34">
        <f t="shared" si="7"/>
        <v>0</v>
      </c>
      <c r="K46" s="35"/>
      <c r="L46" s="33"/>
      <c r="M46" s="34"/>
    </row>
    <row r="47" spans="1:13">
      <c r="B47" s="29" t="s">
        <v>58</v>
      </c>
      <c r="C47" s="5"/>
      <c r="D47" s="40">
        <f t="shared" si="3"/>
        <v>2</v>
      </c>
      <c r="E47" s="3" t="e">
        <f>$C$15*$C$4</f>
        <v>#REF!</v>
      </c>
      <c r="F47" s="5">
        <f>180/D47</f>
        <v>90</v>
      </c>
      <c r="G47" s="31" t="e">
        <f>E47*F47/60</f>
        <v>#REF!</v>
      </c>
      <c r="H47" s="32">
        <v>0</v>
      </c>
      <c r="I47" s="47" t="e">
        <f t="shared" si="6"/>
        <v>#REF!</v>
      </c>
      <c r="J47" s="34">
        <f t="shared" si="7"/>
        <v>0</v>
      </c>
      <c r="K47" s="35"/>
      <c r="L47" s="33"/>
      <c r="M47" s="34"/>
    </row>
    <row r="48" spans="1:13">
      <c r="B48" s="29" t="s">
        <v>54</v>
      </c>
      <c r="C48" s="5"/>
      <c r="D48" s="40">
        <f t="shared" si="3"/>
        <v>2</v>
      </c>
      <c r="E48" s="3" t="e">
        <f>$C$15*$C$4</f>
        <v>#REF!</v>
      </c>
      <c r="F48" s="5">
        <f>10/D48</f>
        <v>5</v>
      </c>
      <c r="G48" s="31" t="e">
        <f>E48*F48/60</f>
        <v>#REF!</v>
      </c>
      <c r="H48" s="32">
        <v>0</v>
      </c>
      <c r="I48" s="47" t="e">
        <f t="shared" si="6"/>
        <v>#REF!</v>
      </c>
      <c r="J48" s="34">
        <f t="shared" si="7"/>
        <v>0</v>
      </c>
      <c r="K48" s="35"/>
      <c r="L48" s="33"/>
      <c r="M48" s="34"/>
    </row>
    <row r="49" spans="1:13">
      <c r="B49" s="38" t="s">
        <v>55</v>
      </c>
      <c r="C49" s="39"/>
      <c r="D49" s="40">
        <f t="shared" si="3"/>
        <v>2</v>
      </c>
      <c r="E49" s="3" t="e">
        <f>$C$15*$C$4/5</f>
        <v>#REF!</v>
      </c>
      <c r="F49" s="39"/>
      <c r="G49" s="31" t="e">
        <f>E49*$C$2/3/$C$8</f>
        <v>#REF!</v>
      </c>
      <c r="H49" s="52" t="e">
        <f>E49*$C$2/2</f>
        <v>#REF!</v>
      </c>
      <c r="I49" s="47" t="e">
        <f t="shared" si="6"/>
        <v>#REF!</v>
      </c>
      <c r="J49" s="43" t="e">
        <f t="shared" si="7"/>
        <v>#REF!</v>
      </c>
      <c r="K49" s="44"/>
      <c r="L49" s="42"/>
      <c r="M49" s="34"/>
    </row>
    <row r="50" spans="1:13">
      <c r="A50" t="s">
        <v>48</v>
      </c>
      <c r="B50" s="29" t="s">
        <v>59</v>
      </c>
      <c r="C50" s="5"/>
      <c r="D50" s="40">
        <f t="shared" si="3"/>
        <v>2</v>
      </c>
      <c r="E50" s="3" t="e">
        <f>$C$15*$C$4/4</f>
        <v>#REF!</v>
      </c>
      <c r="F50" s="5">
        <f>10/D50</f>
        <v>5</v>
      </c>
      <c r="G50" s="31" t="e">
        <f>E50*F50/60</f>
        <v>#REF!</v>
      </c>
      <c r="H50" s="32">
        <v>0</v>
      </c>
      <c r="I50" s="47" t="e">
        <f t="shared" si="6"/>
        <v>#REF!</v>
      </c>
      <c r="J50" s="34">
        <f t="shared" ref="J50:J56" si="8">H50</f>
        <v>0</v>
      </c>
      <c r="K50" s="35"/>
      <c r="L50" s="33"/>
      <c r="M50" s="34"/>
    </row>
    <row r="51" spans="1:13">
      <c r="B51" s="29" t="s">
        <v>50</v>
      </c>
      <c r="C51" s="5"/>
      <c r="D51" s="40">
        <f t="shared" si="3"/>
        <v>2</v>
      </c>
      <c r="E51" s="3" t="e">
        <f>$C$15*$C$4/4</f>
        <v>#REF!</v>
      </c>
      <c r="F51" s="5"/>
      <c r="G51" s="31" t="e">
        <f>E51*$C$2/3/$C$8</f>
        <v>#REF!</v>
      </c>
      <c r="H51" s="51" t="e">
        <f>E51*$C$2/2</f>
        <v>#REF!</v>
      </c>
      <c r="I51" s="47" t="e">
        <f t="shared" si="6"/>
        <v>#REF!</v>
      </c>
      <c r="J51" s="34" t="e">
        <f t="shared" si="8"/>
        <v>#REF!</v>
      </c>
      <c r="K51" s="35"/>
      <c r="L51" s="33"/>
      <c r="M51" s="34"/>
    </row>
    <row r="52" spans="1:13">
      <c r="B52" s="29" t="s">
        <v>51</v>
      </c>
      <c r="C52" s="5" t="s">
        <v>52</v>
      </c>
      <c r="D52" s="40">
        <f t="shared" si="3"/>
        <v>2</v>
      </c>
      <c r="E52" s="3" t="e">
        <f>$C$15*$C$4</f>
        <v>#REF!</v>
      </c>
      <c r="F52" s="5">
        <f>10/D52</f>
        <v>5</v>
      </c>
      <c r="G52" s="31" t="e">
        <f>E52*F52/60</f>
        <v>#REF!</v>
      </c>
      <c r="H52" s="32">
        <v>0</v>
      </c>
      <c r="I52" s="47" t="e">
        <f t="shared" si="6"/>
        <v>#REF!</v>
      </c>
      <c r="J52" s="34">
        <f t="shared" si="8"/>
        <v>0</v>
      </c>
      <c r="K52" s="35"/>
      <c r="L52" s="33"/>
      <c r="M52" s="34"/>
    </row>
    <row r="53" spans="1:13">
      <c r="B53" s="29" t="s">
        <v>60</v>
      </c>
      <c r="C53" s="5"/>
      <c r="D53" s="40">
        <f t="shared" si="3"/>
        <v>2</v>
      </c>
      <c r="E53" s="3" t="e">
        <f>$C$15*$C$4</f>
        <v>#REF!</v>
      </c>
      <c r="F53" s="5">
        <f>120/D53</f>
        <v>60</v>
      </c>
      <c r="G53" s="31" t="e">
        <f>E53*F53/60</f>
        <v>#REF!</v>
      </c>
      <c r="H53" s="32">
        <v>0</v>
      </c>
      <c r="I53" s="47" t="e">
        <f t="shared" si="6"/>
        <v>#REF!</v>
      </c>
      <c r="J53" s="34">
        <f t="shared" si="8"/>
        <v>0</v>
      </c>
      <c r="K53" s="35"/>
      <c r="L53" s="33"/>
      <c r="M53" s="34"/>
    </row>
    <row r="54" spans="1:13">
      <c r="B54" s="38" t="s">
        <v>54</v>
      </c>
      <c r="C54" s="39"/>
      <c r="D54" s="40">
        <f t="shared" si="3"/>
        <v>2</v>
      </c>
      <c r="E54" s="45" t="e">
        <f>$C$15*$C$4</f>
        <v>#REF!</v>
      </c>
      <c r="F54" s="39">
        <f>10/D54</f>
        <v>5</v>
      </c>
      <c r="G54" s="46" t="e">
        <f>E54*F54/60</f>
        <v>#REF!</v>
      </c>
      <c r="H54" s="41">
        <v>0</v>
      </c>
      <c r="I54" s="53" t="e">
        <f t="shared" si="6"/>
        <v>#REF!</v>
      </c>
      <c r="J54" s="43">
        <f t="shared" si="8"/>
        <v>0</v>
      </c>
      <c r="K54" s="35"/>
      <c r="L54" s="33"/>
      <c r="M54" s="34"/>
    </row>
    <row r="55" spans="1:13">
      <c r="B55" s="38" t="s">
        <v>55</v>
      </c>
      <c r="C55" s="39"/>
      <c r="D55" s="40">
        <f t="shared" si="3"/>
        <v>2</v>
      </c>
      <c r="E55" s="3" t="e">
        <f>$C$15*$C$4/4</f>
        <v>#REF!</v>
      </c>
      <c r="F55" s="39"/>
      <c r="G55" s="31" t="e">
        <f>E55*$C$2/3/$C$8</f>
        <v>#REF!</v>
      </c>
      <c r="H55" s="52" t="e">
        <f>E55*$C$2/2</f>
        <v>#REF!</v>
      </c>
      <c r="I55" s="47" t="e">
        <f t="shared" si="6"/>
        <v>#REF!</v>
      </c>
      <c r="J55" s="43" t="e">
        <f t="shared" si="8"/>
        <v>#REF!</v>
      </c>
      <c r="K55" s="44"/>
      <c r="L55" s="42"/>
      <c r="M55" s="34"/>
    </row>
    <row r="56" spans="1:13">
      <c r="B56" s="54" t="s">
        <v>61</v>
      </c>
      <c r="C56" s="55"/>
      <c r="D56" s="40">
        <f t="shared" si="3"/>
        <v>2</v>
      </c>
      <c r="E56" s="55"/>
      <c r="F56" s="55"/>
      <c r="G56" s="31">
        <f>$C$1/$C$7</f>
        <v>2.1428571428571428</v>
      </c>
      <c r="H56" s="56">
        <f>$C$1</f>
        <v>150</v>
      </c>
      <c r="I56" s="57">
        <f t="shared" si="6"/>
        <v>4.2857142857142856</v>
      </c>
      <c r="J56" s="58">
        <f t="shared" si="8"/>
        <v>150</v>
      </c>
      <c r="K56" s="59"/>
      <c r="L56" s="57"/>
      <c r="M56" s="34"/>
    </row>
    <row r="57" spans="1:13">
      <c r="B57" s="54" t="s">
        <v>62</v>
      </c>
      <c r="C57" s="55"/>
      <c r="D57" s="60"/>
      <c r="E57" s="61" t="e">
        <f>IF((CEILING((SUM(G27:G56)+SUM(G20:G21))/7.5/5,1)-1),CEILING((SUM(G27:G56)+SUM(G20:G21))/7.5/5-1,1),0)</f>
        <v>#REF!</v>
      </c>
      <c r="F57" s="55"/>
      <c r="G57" s="62"/>
      <c r="H57" s="56"/>
      <c r="I57" s="57" t="e">
        <f>E57*G56*2</f>
        <v>#REF!</v>
      </c>
      <c r="J57" s="57" t="e">
        <f>E57*H56*2</f>
        <v>#REF!</v>
      </c>
      <c r="K57" s="57"/>
      <c r="L57" s="57"/>
      <c r="M57" s="34"/>
    </row>
    <row r="58" spans="1:13">
      <c r="B58" s="29" t="s">
        <v>63</v>
      </c>
      <c r="C58" s="5"/>
      <c r="D58" s="30">
        <v>2</v>
      </c>
      <c r="E58" s="5">
        <v>1</v>
      </c>
      <c r="F58" s="5"/>
      <c r="G58" s="31">
        <f>E58*$C$1/$C$7</f>
        <v>2.1428571428571428</v>
      </c>
      <c r="H58" s="32">
        <f>E58*$C$1</f>
        <v>150</v>
      </c>
      <c r="I58" s="33"/>
      <c r="J58" s="34"/>
      <c r="K58" s="35"/>
      <c r="L58" s="33">
        <f>D58*G58</f>
        <v>4.2857142857142856</v>
      </c>
      <c r="M58" s="34">
        <f>H58</f>
        <v>150</v>
      </c>
    </row>
    <row r="59" spans="1:13">
      <c r="B59" s="38" t="s">
        <v>64</v>
      </c>
      <c r="C59" s="39"/>
      <c r="D59" s="40">
        <f>D58</f>
        <v>2</v>
      </c>
      <c r="E59" s="45" t="e">
        <f>IF((D59-1),$C$4/(D59-1),$C$4)</f>
        <v>#REF!</v>
      </c>
      <c r="F59" s="5">
        <v>10</v>
      </c>
      <c r="G59" s="46" t="e">
        <f>$C$2*4*2/$C$8+E59*F59/60</f>
        <v>#REF!</v>
      </c>
      <c r="H59" s="50" t="e">
        <f>E59*$C$2/3</f>
        <v>#REF!</v>
      </c>
      <c r="I59" s="42"/>
      <c r="J59" s="43"/>
      <c r="K59" s="35"/>
      <c r="L59" s="33" t="e">
        <f>D59*G59</f>
        <v>#REF!</v>
      </c>
      <c r="M59" s="34" t="e">
        <f>IF((D59-1),H59*(D59-1),H59)</f>
        <v>#REF!</v>
      </c>
    </row>
    <row r="60" spans="1:13">
      <c r="B60" s="29" t="s">
        <v>65</v>
      </c>
      <c r="C60" s="5"/>
      <c r="D60" s="40">
        <f>D59</f>
        <v>2</v>
      </c>
      <c r="E60" s="3">
        <v>1</v>
      </c>
      <c r="F60" s="5"/>
      <c r="G60" s="31">
        <f>E60*$C$1/$C$7</f>
        <v>2.1428571428571428</v>
      </c>
      <c r="H60" s="32">
        <f>E60*$C$1</f>
        <v>150</v>
      </c>
      <c r="I60" s="47"/>
      <c r="J60" s="34"/>
      <c r="K60" s="35"/>
      <c r="L60" s="33">
        <f>D60*G60</f>
        <v>4.2857142857142856</v>
      </c>
      <c r="M60" s="34">
        <f>H60</f>
        <v>150</v>
      </c>
    </row>
    <row r="61" spans="1:13">
      <c r="B61" s="54" t="s">
        <v>66</v>
      </c>
      <c r="C61" s="55"/>
      <c r="D61" s="60"/>
      <c r="E61" s="61" t="e">
        <f>IF((CEILING(SUM(G58:G60)/7.5/5,1)-1),CEILING(SUM(G58:G60)/7.5/5,1)-1,0)</f>
        <v>#REF!</v>
      </c>
      <c r="F61" s="55"/>
      <c r="G61" s="62"/>
      <c r="H61" s="56"/>
      <c r="I61" s="57"/>
      <c r="J61" s="57"/>
      <c r="K61" s="57"/>
      <c r="L61" s="57" t="e">
        <f>E61*G60*2</f>
        <v>#REF!</v>
      </c>
      <c r="M61" s="34" t="e">
        <f>E61*H60*2</f>
        <v>#REF!</v>
      </c>
    </row>
    <row r="62" spans="1:13">
      <c r="B62" s="29" t="s">
        <v>63</v>
      </c>
      <c r="C62" s="5"/>
      <c r="D62" s="36">
        <v>1</v>
      </c>
      <c r="E62" s="5">
        <v>1</v>
      </c>
      <c r="F62" s="5"/>
      <c r="G62" s="31">
        <f>E62*$C$1/$C$7</f>
        <v>2.1428571428571428</v>
      </c>
      <c r="H62" s="32">
        <f>E62*$C$1</f>
        <v>150</v>
      </c>
      <c r="I62" s="33"/>
      <c r="J62" s="34"/>
      <c r="K62" s="35"/>
      <c r="L62" s="33">
        <f>D62*G62</f>
        <v>2.1428571428571428</v>
      </c>
      <c r="M62" s="34">
        <f>H62</f>
        <v>150</v>
      </c>
    </row>
    <row r="63" spans="1:13">
      <c r="B63" s="54" t="s">
        <v>67</v>
      </c>
      <c r="C63" s="55"/>
      <c r="D63" s="60">
        <v>1</v>
      </c>
      <c r="E63" s="45" t="e">
        <f>$C$4</f>
        <v>#REF!</v>
      </c>
      <c r="F63" s="55">
        <v>20</v>
      </c>
      <c r="G63" s="46" t="e">
        <f>$C$2*4*2/$C$8+E63*F63/60</f>
        <v>#REF!</v>
      </c>
      <c r="H63" s="50" t="e">
        <f>E63*$C$2/3</f>
        <v>#REF!</v>
      </c>
      <c r="I63" s="57"/>
      <c r="J63" s="58"/>
      <c r="K63" s="35"/>
      <c r="L63" s="33" t="e">
        <f>D63*G63</f>
        <v>#REF!</v>
      </c>
      <c r="M63" s="34" t="e">
        <f>H63</f>
        <v>#REF!</v>
      </c>
    </row>
    <row r="64" spans="1:13">
      <c r="B64" s="54" t="s">
        <v>4</v>
      </c>
      <c r="C64" s="55"/>
      <c r="D64" s="60">
        <v>1</v>
      </c>
      <c r="E64" s="63">
        <v>1</v>
      </c>
      <c r="F64" s="55">
        <v>240</v>
      </c>
      <c r="G64" s="31">
        <f>E64*F64/60</f>
        <v>4</v>
      </c>
      <c r="H64" s="50"/>
      <c r="I64" s="57"/>
      <c r="J64" s="58"/>
      <c r="K64" s="35"/>
      <c r="L64" s="33">
        <f>D64*G64</f>
        <v>4</v>
      </c>
      <c r="M64" s="34">
        <f>H64</f>
        <v>0</v>
      </c>
    </row>
    <row r="65" spans="2:13">
      <c r="B65" s="29" t="s">
        <v>65</v>
      </c>
      <c r="C65" s="5"/>
      <c r="D65" s="64">
        <v>1</v>
      </c>
      <c r="E65" s="3">
        <v>1</v>
      </c>
      <c r="F65" s="5"/>
      <c r="G65" s="31">
        <f>E65*$C$1/$C$7</f>
        <v>2.1428571428571428</v>
      </c>
      <c r="H65" s="32">
        <f>E65*$C$1</f>
        <v>150</v>
      </c>
      <c r="I65" s="47"/>
      <c r="J65" s="34"/>
      <c r="K65" s="35"/>
      <c r="L65" s="33">
        <f>D65*G65</f>
        <v>2.1428571428571428</v>
      </c>
      <c r="M65" s="34">
        <f>H65</f>
        <v>150</v>
      </c>
    </row>
    <row r="66" spans="2:13">
      <c r="B66" s="54" t="s">
        <v>66</v>
      </c>
      <c r="C66" s="55"/>
      <c r="D66" s="60"/>
      <c r="E66" s="61" t="e">
        <f>IF((CEILING(SUM(G62:G65)/7.5/5,1)-1),CEILING(SUM(G62:G65)/7.5/5,1)-1,0)</f>
        <v>#REF!</v>
      </c>
      <c r="F66" s="55"/>
      <c r="G66" s="62"/>
      <c r="H66" s="56"/>
      <c r="I66" s="57"/>
      <c r="J66" s="57"/>
      <c r="K66" s="57"/>
      <c r="L66" s="57" t="e">
        <f>E66*G65*2</f>
        <v>#REF!</v>
      </c>
      <c r="M66" s="34" t="e">
        <f>E66*H65*2</f>
        <v>#REF!</v>
      </c>
    </row>
    <row r="67" spans="2:13">
      <c r="B67" s="29" t="s">
        <v>68</v>
      </c>
      <c r="C67" s="5"/>
      <c r="D67" s="36">
        <v>2</v>
      </c>
      <c r="E67" s="5" t="e">
        <f>IF(E68,1,0)</f>
        <v>#REF!</v>
      </c>
      <c r="F67" s="5"/>
      <c r="G67" s="31" t="e">
        <f>E67*$C$1/$C$7</f>
        <v>#REF!</v>
      </c>
      <c r="H67" s="32" t="e">
        <f>E67*$C$1</f>
        <v>#REF!</v>
      </c>
      <c r="I67" s="33"/>
      <c r="J67" s="34"/>
      <c r="K67" s="35"/>
      <c r="L67" s="33" t="e">
        <f>D67*G67</f>
        <v>#REF!</v>
      </c>
      <c r="M67" s="34" t="e">
        <f>H67</f>
        <v>#REF!</v>
      </c>
    </row>
    <row r="68" spans="2:13">
      <c r="B68" s="54" t="s">
        <v>69</v>
      </c>
      <c r="C68" s="55"/>
      <c r="D68" s="36">
        <v>2</v>
      </c>
      <c r="E68" s="45" t="e">
        <f>SUM(C12:C13)*0.15</f>
        <v>#REF!</v>
      </c>
      <c r="F68" s="55">
        <v>20</v>
      </c>
      <c r="G68" s="31" t="e">
        <f>E68*F68/60</f>
        <v>#REF!</v>
      </c>
      <c r="H68" s="50" t="e">
        <f>E68*$C$2/3</f>
        <v>#REF!</v>
      </c>
      <c r="I68" s="57"/>
      <c r="J68" s="58"/>
      <c r="K68" s="35"/>
      <c r="L68" s="33" t="e">
        <f>D68*G68</f>
        <v>#REF!</v>
      </c>
      <c r="M68" s="34" t="e">
        <f>H68</f>
        <v>#REF!</v>
      </c>
    </row>
    <row r="69" spans="2:13">
      <c r="B69" s="29" t="s">
        <v>65</v>
      </c>
      <c r="C69" s="5"/>
      <c r="D69" s="36">
        <v>2</v>
      </c>
      <c r="E69" s="3" t="e">
        <f>IF(E68,1,0)</f>
        <v>#REF!</v>
      </c>
      <c r="F69" s="5"/>
      <c r="G69" s="31" t="e">
        <f>E69*$C$1/$C$7</f>
        <v>#REF!</v>
      </c>
      <c r="H69" s="32" t="e">
        <f>E69*$C$1</f>
        <v>#REF!</v>
      </c>
      <c r="I69" s="47"/>
      <c r="J69" s="34"/>
      <c r="K69" s="35"/>
      <c r="L69" s="33" t="e">
        <f>D69*G69</f>
        <v>#REF!</v>
      </c>
      <c r="M69" s="34" t="e">
        <f>H69</f>
        <v>#REF!</v>
      </c>
    </row>
    <row r="70" spans="2:13">
      <c r="B70" s="54" t="s">
        <v>66</v>
      </c>
      <c r="C70" s="55"/>
      <c r="D70" s="60"/>
      <c r="E70" s="61" t="e">
        <f>IF((CEILING(SUM(G67:G69)/7.5/5,1)-1),CEILING(SUM(G67:G69)/7.5/5,1)-1,0)</f>
        <v>#REF!</v>
      </c>
      <c r="F70" s="55"/>
      <c r="G70" s="62"/>
      <c r="H70" s="56"/>
      <c r="I70" s="57"/>
      <c r="J70" s="57"/>
      <c r="K70" s="57"/>
      <c r="L70" s="57" t="e">
        <f>E70*G69*2</f>
        <v>#REF!</v>
      </c>
      <c r="M70" s="34" t="e">
        <f>E70*H69*2</f>
        <v>#REF!</v>
      </c>
    </row>
    <row r="71" spans="2:13">
      <c r="B71" s="29" t="s">
        <v>70</v>
      </c>
      <c r="C71" s="5"/>
      <c r="D71" s="5"/>
      <c r="E71" s="5"/>
      <c r="F71" s="5"/>
      <c r="G71" s="5"/>
      <c r="H71" s="5"/>
      <c r="I71" s="35" t="e">
        <f>SUM(I20:I66)</f>
        <v>#REF!</v>
      </c>
      <c r="J71" s="34" t="e">
        <f>SUM(J20:J66)</f>
        <v>#REF!</v>
      </c>
      <c r="K71" s="35"/>
      <c r="L71" s="35" t="e">
        <f>SUM(L20:L66)</f>
        <v>#REF!</v>
      </c>
      <c r="M71" s="34" t="e">
        <f>SUM(M20:M66)</f>
        <v>#REF!</v>
      </c>
    </row>
    <row r="72" spans="2:13">
      <c r="B72" s="29" t="s">
        <v>71</v>
      </c>
      <c r="C72" s="5"/>
      <c r="D72" s="5"/>
      <c r="E72" s="5"/>
      <c r="F72" s="5"/>
      <c r="G72" s="5"/>
      <c r="H72" s="5"/>
      <c r="I72" s="35" t="e">
        <f>CEILING(SUM(G20:G56)/7.5,1)</f>
        <v>#REF!</v>
      </c>
      <c r="J72" s="34"/>
      <c r="K72" s="35"/>
      <c r="L72" s="35" t="e">
        <f>CEILING((SUM(G58:G65)+SUM(G20:G26)+G28)/7.5,1)</f>
        <v>#REF!</v>
      </c>
      <c r="M72" s="34"/>
    </row>
    <row r="73" spans="2:13">
      <c r="B73" s="29" t="s">
        <v>72</v>
      </c>
      <c r="C73" s="5"/>
      <c r="D73" s="5"/>
      <c r="E73" s="5"/>
      <c r="F73" s="5"/>
      <c r="G73" s="5"/>
      <c r="H73" s="5"/>
      <c r="I73" s="35" t="e">
        <f>I72/5</f>
        <v>#REF!</v>
      </c>
      <c r="J73" s="4"/>
      <c r="K73" s="3"/>
      <c r="L73" s="35" t="e">
        <f>L72/5</f>
        <v>#REF!</v>
      </c>
      <c r="M73" s="4"/>
    </row>
    <row r="74" spans="2:13" s="65" customFormat="1" ht="16">
      <c r="B74" s="66" t="s">
        <v>73</v>
      </c>
      <c r="C74" s="67"/>
      <c r="D74" s="67"/>
      <c r="E74" s="67"/>
      <c r="F74" s="67"/>
      <c r="G74" s="67"/>
      <c r="H74" s="67"/>
      <c r="I74" s="68" t="e">
        <f>CEILING(SUM(G20:G66)/7.5,1)</f>
        <v>#REF!</v>
      </c>
      <c r="J74" s="69"/>
      <c r="K74" s="70"/>
      <c r="L74" s="67"/>
      <c r="M74" s="69"/>
    </row>
  </sheetData>
  <mergeCells count="1">
    <mergeCell ref="I18:J18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85"/>
  <sheetViews>
    <sheetView zoomScale="75" zoomScaleNormal="75" zoomScaleSheetLayoutView="75" zoomScalePageLayoutView="75" workbookViewId="0">
      <pane ySplit="3" topLeftCell="A76" activePane="bottomLeft" state="frozen"/>
      <selection pane="bottomLeft" activeCell="E32" sqref="E32"/>
    </sheetView>
  </sheetViews>
  <sheetFormatPr baseColWidth="10" defaultColWidth="8.7109375" defaultRowHeight="13" x14ac:dyDescent="0"/>
  <cols>
    <col min="1" max="1" width="4" style="71" customWidth="1"/>
    <col min="2" max="2" width="11" style="71" customWidth="1"/>
    <col min="3" max="3" width="3.85546875" style="72" customWidth="1"/>
    <col min="4" max="4" width="38.140625" style="71" customWidth="1"/>
    <col min="5" max="5" width="4.5703125" style="73" customWidth="1"/>
    <col min="6" max="6" width="6.5703125" style="74" customWidth="1"/>
    <col min="7" max="7" width="10.7109375" style="75" customWidth="1"/>
    <col min="8" max="8" width="4.5703125" style="71" customWidth="1"/>
    <col min="9" max="9" width="6.85546875" style="74" customWidth="1"/>
    <col min="10" max="11" width="12.42578125" style="75" customWidth="1"/>
    <col min="12" max="16384" width="8.7109375" style="71"/>
  </cols>
  <sheetData>
    <row r="1" spans="1:12" s="76" customFormat="1" ht="37.5" customHeight="1">
      <c r="A1" s="338" t="s">
        <v>74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</row>
    <row r="2" spans="1:12" s="78" customFormat="1" ht="12.75" customHeight="1">
      <c r="A2" s="77" t="s">
        <v>75</v>
      </c>
      <c r="D2" s="79">
        <v>37503</v>
      </c>
      <c r="E2" s="80"/>
      <c r="F2" s="81"/>
      <c r="I2" s="81"/>
      <c r="J2" s="82" t="s">
        <v>76</v>
      </c>
      <c r="K2" s="83">
        <v>0</v>
      </c>
    </row>
    <row r="3" spans="1:12" s="86" customFormat="1" ht="39" customHeight="1">
      <c r="A3" s="84" t="s">
        <v>77</v>
      </c>
      <c r="B3" s="339" t="s">
        <v>78</v>
      </c>
      <c r="C3" s="339"/>
      <c r="D3" s="84" t="s">
        <v>79</v>
      </c>
      <c r="E3" s="84" t="s">
        <v>80</v>
      </c>
      <c r="F3" s="84" t="s">
        <v>81</v>
      </c>
      <c r="G3" s="85" t="s">
        <v>82</v>
      </c>
      <c r="H3" s="84" t="s">
        <v>80</v>
      </c>
      <c r="I3" s="84" t="s">
        <v>81</v>
      </c>
      <c r="J3" s="85" t="s">
        <v>82</v>
      </c>
      <c r="K3" s="85" t="s">
        <v>83</v>
      </c>
    </row>
    <row r="4" spans="1:12" ht="12.75" customHeight="1">
      <c r="A4" s="87"/>
      <c r="B4" s="87"/>
      <c r="C4" s="87"/>
      <c r="D4" s="87"/>
      <c r="E4" s="87"/>
      <c r="F4" s="88"/>
      <c r="G4" s="89"/>
      <c r="H4" s="87"/>
      <c r="I4" s="88"/>
      <c r="J4" s="89"/>
      <c r="K4" s="89"/>
    </row>
    <row r="5" spans="1:12" s="76" customFormat="1">
      <c r="A5" s="90" t="s">
        <v>84</v>
      </c>
      <c r="B5" s="91"/>
      <c r="C5" s="91"/>
      <c r="D5" s="92" t="s">
        <v>85</v>
      </c>
      <c r="E5" s="93"/>
      <c r="F5" s="94"/>
      <c r="G5" s="95"/>
      <c r="H5" s="93"/>
      <c r="I5" s="94"/>
      <c r="J5" s="95"/>
      <c r="K5" s="95"/>
    </row>
    <row r="6" spans="1:12" s="76" customFormat="1">
      <c r="A6" s="90" t="s">
        <v>86</v>
      </c>
      <c r="B6" s="91"/>
      <c r="C6" s="91"/>
      <c r="D6" s="96" t="s">
        <v>87</v>
      </c>
      <c r="E6" s="93"/>
      <c r="F6" s="94"/>
      <c r="G6" s="95"/>
      <c r="H6" s="93"/>
      <c r="I6" s="94"/>
      <c r="J6" s="95"/>
      <c r="K6" s="95"/>
    </row>
    <row r="7" spans="1:12" s="76" customFormat="1">
      <c r="A7" s="90" t="s">
        <v>88</v>
      </c>
      <c r="B7" s="91"/>
      <c r="C7" s="91"/>
      <c r="D7" s="97" t="s">
        <v>89</v>
      </c>
      <c r="E7" s="93"/>
      <c r="F7" s="94"/>
      <c r="G7" s="95"/>
      <c r="H7" s="93"/>
      <c r="I7" s="94"/>
      <c r="J7" s="95"/>
      <c r="K7" s="95"/>
    </row>
    <row r="8" spans="1:12" s="76" customFormat="1">
      <c r="A8" s="90" t="s">
        <v>90</v>
      </c>
      <c r="B8" s="91"/>
      <c r="C8" s="91"/>
      <c r="D8" s="97" t="s">
        <v>89</v>
      </c>
      <c r="E8" s="93"/>
      <c r="F8" s="94"/>
      <c r="G8" s="95"/>
      <c r="H8" s="93"/>
      <c r="I8" s="94"/>
      <c r="J8" s="95"/>
      <c r="K8" s="95"/>
    </row>
    <row r="9" spans="1:12" s="76" customFormat="1">
      <c r="A9" s="90" t="s">
        <v>91</v>
      </c>
      <c r="B9" s="91"/>
      <c r="C9" s="91"/>
      <c r="D9" s="96" t="s">
        <v>92</v>
      </c>
      <c r="E9" s="93"/>
      <c r="F9" s="94"/>
      <c r="G9" s="95"/>
      <c r="H9" s="93"/>
      <c r="I9" s="94"/>
      <c r="J9" s="95"/>
      <c r="K9" s="95"/>
    </row>
    <row r="10" spans="1:12" s="76" customFormat="1" ht="15" customHeight="1">
      <c r="A10" s="98"/>
      <c r="B10" s="91"/>
      <c r="C10" s="91"/>
      <c r="D10" s="99"/>
      <c r="E10" s="93"/>
      <c r="F10" s="94"/>
      <c r="G10" s="95"/>
      <c r="H10" s="93"/>
      <c r="I10" s="94"/>
      <c r="J10" s="95"/>
      <c r="K10" s="95"/>
    </row>
    <row r="11" spans="1:12" s="108" customFormat="1" ht="15" customHeight="1">
      <c r="A11" s="100" t="s">
        <v>93</v>
      </c>
      <c r="B11" s="101"/>
      <c r="C11" s="102"/>
      <c r="D11" s="103"/>
      <c r="E11" s="104"/>
      <c r="F11" s="105"/>
      <c r="G11" s="106"/>
      <c r="H11" s="104"/>
      <c r="I11" s="105"/>
      <c r="J11" s="106"/>
      <c r="K11" s="106"/>
      <c r="L11" s="107"/>
    </row>
    <row r="12" spans="1:12" s="108" customFormat="1" ht="15" customHeight="1">
      <c r="A12" s="109"/>
      <c r="B12" s="110"/>
      <c r="C12" s="111"/>
      <c r="D12" s="112"/>
      <c r="E12" s="113"/>
      <c r="F12" s="114"/>
      <c r="G12" s="115"/>
      <c r="H12" s="113"/>
      <c r="I12" s="114"/>
      <c r="J12" s="115"/>
      <c r="K12" s="115"/>
      <c r="L12" s="107"/>
    </row>
    <row r="13" spans="1:12" s="108" customFormat="1">
      <c r="A13" s="116" t="s">
        <v>94</v>
      </c>
      <c r="B13" s="117"/>
      <c r="C13" s="111"/>
      <c r="D13" s="118"/>
      <c r="E13" s="119"/>
      <c r="F13" s="114"/>
      <c r="G13" s="115"/>
      <c r="H13" s="120"/>
      <c r="I13" s="114"/>
      <c r="J13" s="115"/>
      <c r="K13" s="115"/>
      <c r="L13" s="107"/>
    </row>
    <row r="14" spans="1:12" s="108" customFormat="1" ht="13" customHeight="1">
      <c r="A14" s="121">
        <v>1</v>
      </c>
      <c r="B14" s="337"/>
      <c r="C14" s="337"/>
      <c r="D14" s="123" t="s">
        <v>95</v>
      </c>
      <c r="E14" s="124" t="s">
        <v>28</v>
      </c>
      <c r="F14" s="125">
        <v>30</v>
      </c>
      <c r="G14" s="126">
        <v>203</v>
      </c>
      <c r="H14" s="122"/>
      <c r="I14" s="123" t="s">
        <v>96</v>
      </c>
      <c r="J14" s="127">
        <f>(G14*0.35)</f>
        <v>71.05</v>
      </c>
      <c r="K14" s="128">
        <f>(F14*G14)+(F14*J14)</f>
        <v>8221.5</v>
      </c>
      <c r="L14" s="107"/>
    </row>
    <row r="15" spans="1:12" s="108" customFormat="1">
      <c r="A15" s="116" t="s">
        <v>97</v>
      </c>
      <c r="B15" s="117"/>
      <c r="C15" s="111"/>
      <c r="D15" s="118"/>
      <c r="E15" s="119"/>
      <c r="F15" s="129"/>
      <c r="G15" s="115"/>
      <c r="H15" s="120"/>
      <c r="I15" s="114"/>
      <c r="J15" s="115"/>
      <c r="K15" s="115"/>
      <c r="L15" s="107"/>
    </row>
    <row r="16" spans="1:12" s="108" customFormat="1" ht="13" customHeight="1">
      <c r="A16" s="121">
        <v>2</v>
      </c>
      <c r="B16" s="337"/>
      <c r="C16" s="337"/>
      <c r="D16" s="123" t="s">
        <v>98</v>
      </c>
      <c r="E16" s="124" t="s">
        <v>28</v>
      </c>
      <c r="F16" s="125">
        <v>0</v>
      </c>
      <c r="G16" s="127">
        <v>114.3</v>
      </c>
      <c r="H16" s="122"/>
      <c r="I16" s="123" t="s">
        <v>96</v>
      </c>
      <c r="J16" s="127">
        <f>(G16*0.35)</f>
        <v>40.004999999999995</v>
      </c>
      <c r="K16" s="128">
        <f>(F16*G16)+(F16*J16)</f>
        <v>0</v>
      </c>
      <c r="L16" s="107"/>
    </row>
    <row r="17" spans="1:12" s="108" customFormat="1">
      <c r="A17" s="116" t="s">
        <v>99</v>
      </c>
      <c r="B17" s="110"/>
      <c r="C17" s="111"/>
      <c r="D17" s="112"/>
      <c r="E17" s="130"/>
      <c r="F17" s="131"/>
      <c r="G17" s="115"/>
      <c r="H17" s="113"/>
      <c r="I17" s="114"/>
      <c r="J17" s="115"/>
      <c r="K17" s="115"/>
      <c r="L17" s="107"/>
    </row>
    <row r="18" spans="1:12" s="108" customFormat="1" ht="13" customHeight="1">
      <c r="A18" s="121">
        <v>3</v>
      </c>
      <c r="B18" s="337"/>
      <c r="C18" s="337"/>
      <c r="D18" s="123" t="s">
        <v>100</v>
      </c>
      <c r="E18" s="124" t="s">
        <v>28</v>
      </c>
      <c r="F18" s="125" t="e">
        <f>'Doba instalace'!L71</f>
        <v>#REF!</v>
      </c>
      <c r="G18" s="132">
        <v>89</v>
      </c>
      <c r="H18" s="122"/>
      <c r="I18" s="123" t="s">
        <v>96</v>
      </c>
      <c r="J18" s="127">
        <f>(G18*0.35)</f>
        <v>31.15</v>
      </c>
      <c r="K18" s="128" t="e">
        <f>(F18*G18)+(F18*J18)</f>
        <v>#REF!</v>
      </c>
      <c r="L18" s="107"/>
    </row>
    <row r="19" spans="1:12" s="108" customFormat="1">
      <c r="A19" s="116" t="s">
        <v>101</v>
      </c>
      <c r="B19" s="110"/>
      <c r="C19" s="111"/>
      <c r="D19" s="112"/>
      <c r="E19" s="130"/>
      <c r="F19" s="131"/>
      <c r="G19" s="115"/>
      <c r="H19" s="113"/>
      <c r="I19" s="114"/>
      <c r="J19" s="115"/>
      <c r="K19" s="115"/>
      <c r="L19" s="107"/>
    </row>
    <row r="20" spans="1:12" s="108" customFormat="1" ht="13" customHeight="1">
      <c r="A20" s="121"/>
      <c r="B20" s="337"/>
      <c r="C20" s="337"/>
      <c r="D20" s="123" t="s">
        <v>100</v>
      </c>
      <c r="E20" s="124" t="s">
        <v>28</v>
      </c>
      <c r="F20" s="125" t="e">
        <f>'Doba instalace'!I71</f>
        <v>#REF!</v>
      </c>
      <c r="G20" s="132">
        <v>127</v>
      </c>
      <c r="H20" s="122"/>
      <c r="I20" s="123" t="s">
        <v>96</v>
      </c>
      <c r="J20" s="127">
        <f>(G20*0.35)</f>
        <v>44.449999999999996</v>
      </c>
      <c r="K20" s="128" t="e">
        <f>(F20*G20)+(F20*J20)</f>
        <v>#REF!</v>
      </c>
      <c r="L20" s="107"/>
    </row>
    <row r="21" spans="1:12" s="108" customFormat="1" ht="13" customHeight="1">
      <c r="A21" s="119"/>
      <c r="B21" s="113"/>
      <c r="C21" s="113"/>
      <c r="D21" s="112"/>
      <c r="E21" s="133"/>
      <c r="F21" s="131"/>
      <c r="G21" s="134"/>
      <c r="H21" s="113"/>
      <c r="I21" s="112"/>
      <c r="J21" s="134"/>
      <c r="K21" s="115"/>
      <c r="L21" s="107"/>
    </row>
    <row r="22" spans="1:12" s="108" customFormat="1" ht="13" customHeight="1">
      <c r="A22" s="135" t="s">
        <v>102</v>
      </c>
      <c r="B22" s="136"/>
      <c r="C22" s="136"/>
      <c r="D22" s="137"/>
      <c r="E22" s="138"/>
      <c r="F22" s="139"/>
      <c r="G22" s="140"/>
      <c r="H22" s="136"/>
      <c r="I22" s="137"/>
      <c r="J22" s="140"/>
      <c r="K22" s="141" t="e">
        <f>SUM(K14:K20)</f>
        <v>#REF!</v>
      </c>
      <c r="L22" s="107"/>
    </row>
    <row r="23" spans="1:12" s="108" customFormat="1" ht="13" customHeight="1">
      <c r="A23" s="142"/>
      <c r="B23" s="113"/>
      <c r="C23" s="113"/>
      <c r="D23" s="112"/>
      <c r="E23" s="133"/>
      <c r="F23" s="131"/>
      <c r="G23" s="134"/>
      <c r="H23" s="113"/>
      <c r="I23" s="112"/>
      <c r="J23" s="134"/>
      <c r="K23" s="115"/>
      <c r="L23" s="107"/>
    </row>
    <row r="24" spans="1:12" s="108" customFormat="1">
      <c r="A24" s="116" t="s">
        <v>103</v>
      </c>
      <c r="B24" s="117"/>
      <c r="C24" s="111"/>
      <c r="D24" s="118"/>
      <c r="E24" s="119"/>
      <c r="F24" s="114"/>
      <c r="G24" s="115"/>
      <c r="H24" s="120"/>
      <c r="I24" s="114"/>
      <c r="J24" s="115"/>
      <c r="K24" s="115"/>
      <c r="L24" s="107"/>
    </row>
    <row r="25" spans="1:12" s="108" customFormat="1" ht="13" customHeight="1">
      <c r="A25" s="121">
        <v>4</v>
      </c>
      <c r="B25" s="335" t="s">
        <v>104</v>
      </c>
      <c r="C25" s="335"/>
      <c r="D25" s="143" t="s">
        <v>105</v>
      </c>
      <c r="E25" s="122" t="s">
        <v>106</v>
      </c>
      <c r="F25" s="144">
        <v>0</v>
      </c>
      <c r="G25" s="127">
        <v>584</v>
      </c>
      <c r="H25" s="122" t="s">
        <v>27</v>
      </c>
      <c r="I25" s="144">
        <v>0</v>
      </c>
      <c r="J25" s="127">
        <v>1.95</v>
      </c>
      <c r="K25" s="128">
        <f t="shared" ref="K25:K35" si="0">(F25*G25)+(I25*J25)</f>
        <v>0</v>
      </c>
      <c r="L25" s="107"/>
    </row>
    <row r="26" spans="1:12" s="108" customFormat="1" ht="12.75" customHeight="1">
      <c r="A26" s="121">
        <v>5</v>
      </c>
      <c r="B26" s="335" t="s">
        <v>107</v>
      </c>
      <c r="C26" s="335"/>
      <c r="D26" s="143" t="s">
        <v>108</v>
      </c>
      <c r="E26" s="122" t="s">
        <v>106</v>
      </c>
      <c r="F26" s="144">
        <v>0</v>
      </c>
      <c r="G26" s="127">
        <v>397</v>
      </c>
      <c r="H26" s="122" t="s">
        <v>27</v>
      </c>
      <c r="I26" s="144">
        <v>0</v>
      </c>
      <c r="J26" s="127">
        <v>1.3</v>
      </c>
      <c r="K26" s="128">
        <f t="shared" si="0"/>
        <v>0</v>
      </c>
      <c r="L26" s="107"/>
    </row>
    <row r="27" spans="1:12" s="108" customFormat="1" ht="13" customHeight="1">
      <c r="A27" s="121">
        <v>6</v>
      </c>
      <c r="B27" s="335" t="s">
        <v>109</v>
      </c>
      <c r="C27" s="335"/>
      <c r="D27" s="143" t="s">
        <v>110</v>
      </c>
      <c r="E27" s="122" t="s">
        <v>106</v>
      </c>
      <c r="F27" s="144">
        <v>0</v>
      </c>
      <c r="G27" s="127">
        <v>281</v>
      </c>
      <c r="H27" s="122" t="s">
        <v>27</v>
      </c>
      <c r="I27" s="144">
        <v>0</v>
      </c>
      <c r="J27" s="127">
        <v>2.5</v>
      </c>
      <c r="K27" s="128">
        <f t="shared" si="0"/>
        <v>0</v>
      </c>
      <c r="L27" s="107"/>
    </row>
    <row r="28" spans="1:12" s="108" customFormat="1" ht="12.75" customHeight="1">
      <c r="A28" s="121">
        <v>7</v>
      </c>
      <c r="B28" s="145" t="s">
        <v>111</v>
      </c>
      <c r="C28" s="146"/>
      <c r="D28" s="147" t="s">
        <v>112</v>
      </c>
      <c r="E28" s="122" t="s">
        <v>106</v>
      </c>
      <c r="F28" s="144">
        <v>0</v>
      </c>
      <c r="G28" s="127">
        <v>203</v>
      </c>
      <c r="H28" s="122" t="s">
        <v>27</v>
      </c>
      <c r="I28" s="144">
        <v>0</v>
      </c>
      <c r="J28" s="127">
        <v>2.5499999999999998</v>
      </c>
      <c r="K28" s="128">
        <f t="shared" si="0"/>
        <v>0</v>
      </c>
      <c r="L28" s="107"/>
    </row>
    <row r="29" spans="1:12" s="108" customFormat="1" ht="12.75" customHeight="1">
      <c r="A29" s="121">
        <v>8</v>
      </c>
      <c r="B29" s="145" t="s">
        <v>113</v>
      </c>
      <c r="C29" s="146"/>
      <c r="D29" s="147" t="s">
        <v>114</v>
      </c>
      <c r="E29" s="122" t="s">
        <v>106</v>
      </c>
      <c r="F29" s="144">
        <v>0</v>
      </c>
      <c r="G29" s="127">
        <v>130</v>
      </c>
      <c r="H29" s="122" t="s">
        <v>27</v>
      </c>
      <c r="I29" s="144">
        <v>0</v>
      </c>
      <c r="J29" s="127">
        <v>1.75</v>
      </c>
      <c r="K29" s="128">
        <f t="shared" si="0"/>
        <v>0</v>
      </c>
      <c r="L29" s="107"/>
    </row>
    <row r="30" spans="1:12" s="108" customFormat="1" ht="12.75" customHeight="1">
      <c r="A30" s="121">
        <v>9</v>
      </c>
      <c r="B30" s="336" t="s">
        <v>115</v>
      </c>
      <c r="C30" s="336"/>
      <c r="D30" s="147" t="s">
        <v>116</v>
      </c>
      <c r="E30" s="122" t="s">
        <v>106</v>
      </c>
      <c r="F30" s="144">
        <v>0</v>
      </c>
      <c r="G30" s="127">
        <v>130</v>
      </c>
      <c r="H30" s="122" t="s">
        <v>27</v>
      </c>
      <c r="I30" s="144">
        <v>0</v>
      </c>
      <c r="J30" s="127">
        <v>1.75</v>
      </c>
      <c r="K30" s="128">
        <f t="shared" si="0"/>
        <v>0</v>
      </c>
      <c r="L30" s="107"/>
    </row>
    <row r="31" spans="1:12" s="108" customFormat="1" ht="12.75" customHeight="1">
      <c r="A31" s="121">
        <v>10</v>
      </c>
      <c r="B31" s="145" t="s">
        <v>117</v>
      </c>
      <c r="C31" s="146"/>
      <c r="D31" s="147" t="s">
        <v>118</v>
      </c>
      <c r="E31" s="122" t="s">
        <v>106</v>
      </c>
      <c r="F31" s="144" t="e">
        <f>4+'Doba instalace'!I72</f>
        <v>#REF!</v>
      </c>
      <c r="G31" s="127">
        <v>215</v>
      </c>
      <c r="H31" s="122" t="s">
        <v>27</v>
      </c>
      <c r="I31" s="144" t="e">
        <f>400+'Doba instalace'!J71</f>
        <v>#REF!</v>
      </c>
      <c r="J31" s="127">
        <v>1.5</v>
      </c>
      <c r="K31" s="128" t="e">
        <f t="shared" si="0"/>
        <v>#REF!</v>
      </c>
      <c r="L31" s="107"/>
    </row>
    <row r="32" spans="1:12" s="108" customFormat="1" ht="12.75" customHeight="1">
      <c r="A32" s="121">
        <v>11</v>
      </c>
      <c r="B32" s="145" t="s">
        <v>119</v>
      </c>
      <c r="C32" s="146"/>
      <c r="D32" s="147" t="s">
        <v>120</v>
      </c>
      <c r="E32" s="122" t="s">
        <v>106</v>
      </c>
      <c r="F32" s="144" t="e">
        <f>'Doba instalace'!L72</f>
        <v>#REF!</v>
      </c>
      <c r="G32" s="127">
        <v>397</v>
      </c>
      <c r="H32" s="122" t="s">
        <v>27</v>
      </c>
      <c r="I32" s="144" t="e">
        <f>'Doba instalace'!M71</f>
        <v>#REF!</v>
      </c>
      <c r="J32" s="127">
        <v>1.3</v>
      </c>
      <c r="K32" s="128" t="e">
        <f t="shared" si="0"/>
        <v>#REF!</v>
      </c>
      <c r="L32" s="107"/>
    </row>
    <row r="33" spans="1:12" s="108" customFormat="1" ht="12.75" customHeight="1">
      <c r="A33" s="121">
        <v>12</v>
      </c>
      <c r="B33" s="145" t="s">
        <v>121</v>
      </c>
      <c r="C33" s="146"/>
      <c r="D33" s="147" t="s">
        <v>122</v>
      </c>
      <c r="E33" s="122" t="s">
        <v>106</v>
      </c>
      <c r="F33" s="144">
        <v>0</v>
      </c>
      <c r="G33" s="127">
        <v>130</v>
      </c>
      <c r="H33" s="122" t="s">
        <v>27</v>
      </c>
      <c r="I33" s="144">
        <v>0</v>
      </c>
      <c r="J33" s="127">
        <v>1.75</v>
      </c>
      <c r="K33" s="128">
        <f t="shared" si="0"/>
        <v>0</v>
      </c>
      <c r="L33" s="107"/>
    </row>
    <row r="34" spans="1:12" s="108" customFormat="1" ht="12.75" customHeight="1">
      <c r="A34" s="121">
        <v>13</v>
      </c>
      <c r="B34" s="336" t="s">
        <v>123</v>
      </c>
      <c r="C34" s="336"/>
      <c r="D34" s="147" t="s">
        <v>124</v>
      </c>
      <c r="E34" s="122" t="s">
        <v>106</v>
      </c>
      <c r="F34" s="144">
        <v>0</v>
      </c>
      <c r="G34" s="127">
        <v>449</v>
      </c>
      <c r="H34" s="122" t="s">
        <v>27</v>
      </c>
      <c r="I34" s="144">
        <v>0</v>
      </c>
      <c r="J34" s="127">
        <v>1.05</v>
      </c>
      <c r="K34" s="128">
        <f t="shared" si="0"/>
        <v>0</v>
      </c>
      <c r="L34" s="107"/>
    </row>
    <row r="35" spans="1:12" s="108" customFormat="1" ht="12.75" customHeight="1">
      <c r="A35" s="121">
        <v>14</v>
      </c>
      <c r="B35" s="336" t="s">
        <v>125</v>
      </c>
      <c r="C35" s="336"/>
      <c r="D35" s="147" t="s">
        <v>126</v>
      </c>
      <c r="E35" s="122" t="s">
        <v>106</v>
      </c>
      <c r="F35" s="144">
        <v>0</v>
      </c>
      <c r="G35" s="127">
        <v>391</v>
      </c>
      <c r="H35" s="122" t="s">
        <v>27</v>
      </c>
      <c r="I35" s="144">
        <v>0</v>
      </c>
      <c r="J35" s="127">
        <v>2.2999999999999998</v>
      </c>
      <c r="K35" s="128">
        <f t="shared" si="0"/>
        <v>0</v>
      </c>
      <c r="L35" s="107"/>
    </row>
    <row r="36" spans="1:12" s="108" customFormat="1">
      <c r="A36" s="116" t="s">
        <v>127</v>
      </c>
      <c r="B36" s="117"/>
      <c r="C36" s="111"/>
      <c r="D36" s="118"/>
      <c r="E36" s="119"/>
      <c r="F36" s="114"/>
      <c r="G36" s="115"/>
      <c r="H36" s="120"/>
      <c r="I36" s="114"/>
      <c r="J36" s="115"/>
      <c r="K36" s="115"/>
      <c r="L36" s="107"/>
    </row>
    <row r="37" spans="1:12" s="108" customFormat="1" ht="13" customHeight="1">
      <c r="A37" s="121">
        <v>15</v>
      </c>
      <c r="B37" s="328" t="s">
        <v>128</v>
      </c>
      <c r="C37" s="328"/>
      <c r="D37" s="145" t="s">
        <v>129</v>
      </c>
      <c r="E37" s="122" t="s">
        <v>27</v>
      </c>
      <c r="F37" s="144">
        <v>0</v>
      </c>
      <c r="G37" s="127">
        <v>1.8</v>
      </c>
      <c r="H37" s="122" t="s">
        <v>27</v>
      </c>
      <c r="I37" s="123">
        <f>SUM(F37)</f>
        <v>0</v>
      </c>
      <c r="J37" s="127">
        <v>3.3</v>
      </c>
      <c r="K37" s="128">
        <f>F37*(G37+J37)</f>
        <v>0</v>
      </c>
      <c r="L37" s="107"/>
    </row>
    <row r="38" spans="1:12" s="108" customFormat="1" ht="13" customHeight="1">
      <c r="A38" s="121">
        <v>16</v>
      </c>
      <c r="B38" s="328" t="s">
        <v>128</v>
      </c>
      <c r="C38" s="328"/>
      <c r="D38" s="145" t="s">
        <v>130</v>
      </c>
      <c r="E38" s="122" t="s">
        <v>27</v>
      </c>
      <c r="F38" s="144">
        <v>0</v>
      </c>
      <c r="G38" s="127">
        <v>2.4</v>
      </c>
      <c r="H38" s="122" t="s">
        <v>27</v>
      </c>
      <c r="I38" s="123">
        <f>SUM(F38)</f>
        <v>0</v>
      </c>
      <c r="J38" s="127">
        <v>3.3</v>
      </c>
      <c r="K38" s="128">
        <f>F38*(G38+J38)</f>
        <v>0</v>
      </c>
      <c r="L38" s="107"/>
    </row>
    <row r="39" spans="1:12" s="108" customFormat="1" ht="13" customHeight="1">
      <c r="A39" s="121">
        <v>17</v>
      </c>
      <c r="B39" s="328" t="s">
        <v>128</v>
      </c>
      <c r="C39" s="328"/>
      <c r="D39" s="145" t="s">
        <v>131</v>
      </c>
      <c r="E39" s="122" t="s">
        <v>27</v>
      </c>
      <c r="F39" s="144">
        <v>0</v>
      </c>
      <c r="G39" s="127">
        <v>3</v>
      </c>
      <c r="H39" s="122" t="s">
        <v>27</v>
      </c>
      <c r="I39" s="123">
        <f>SUM(F39)</f>
        <v>0</v>
      </c>
      <c r="J39" s="127">
        <v>3.3</v>
      </c>
      <c r="K39" s="128">
        <f>F39*(G39+J39)</f>
        <v>0</v>
      </c>
      <c r="L39" s="107"/>
    </row>
    <row r="40" spans="1:12" s="108" customFormat="1" ht="13" customHeight="1">
      <c r="A40" s="119"/>
      <c r="B40" s="113"/>
      <c r="C40" s="113"/>
      <c r="D40" s="112"/>
      <c r="E40" s="133"/>
      <c r="F40" s="131"/>
      <c r="G40" s="134"/>
      <c r="H40" s="113"/>
      <c r="I40" s="112"/>
      <c r="J40" s="134"/>
      <c r="K40" s="115"/>
      <c r="L40" s="107"/>
    </row>
    <row r="41" spans="1:12" s="108" customFormat="1" ht="13" customHeight="1">
      <c r="A41" s="135" t="s">
        <v>132</v>
      </c>
      <c r="B41" s="136"/>
      <c r="C41" s="136"/>
      <c r="D41" s="137"/>
      <c r="E41" s="138"/>
      <c r="F41" s="139"/>
      <c r="G41" s="140"/>
      <c r="H41" s="136"/>
      <c r="I41" s="137"/>
      <c r="J41" s="140"/>
      <c r="K41" s="141" t="e">
        <f>SUM(K25:K39)</f>
        <v>#REF!</v>
      </c>
      <c r="L41" s="107"/>
    </row>
    <row r="42" spans="1:12" s="108" customFormat="1" ht="13" customHeight="1">
      <c r="A42" s="142"/>
      <c r="B42" s="113"/>
      <c r="C42" s="113"/>
      <c r="D42" s="112"/>
      <c r="E42" s="133"/>
      <c r="F42" s="131"/>
      <c r="G42" s="134"/>
      <c r="H42" s="113"/>
      <c r="I42" s="112"/>
      <c r="J42" s="134"/>
      <c r="K42" s="115"/>
      <c r="L42" s="107"/>
    </row>
    <row r="43" spans="1:12" s="108" customFormat="1">
      <c r="A43" s="116" t="s">
        <v>133</v>
      </c>
      <c r="B43" s="117"/>
      <c r="C43" s="111"/>
      <c r="D43" s="118"/>
      <c r="E43" s="119"/>
      <c r="F43" s="114"/>
      <c r="G43" s="115"/>
      <c r="H43" s="120"/>
      <c r="I43" s="114"/>
      <c r="J43" s="115"/>
      <c r="K43" s="115"/>
      <c r="L43" s="107"/>
    </row>
    <row r="44" spans="1:12" s="108" customFormat="1" ht="13" customHeight="1">
      <c r="A44" s="121">
        <v>18</v>
      </c>
      <c r="B44" s="328" t="s">
        <v>128</v>
      </c>
      <c r="C44" s="328"/>
      <c r="D44" s="145" t="s">
        <v>134</v>
      </c>
      <c r="E44" s="122" t="s">
        <v>106</v>
      </c>
      <c r="F44" s="144">
        <v>1</v>
      </c>
      <c r="G44" s="127">
        <v>200</v>
      </c>
      <c r="H44" s="122" t="s">
        <v>135</v>
      </c>
      <c r="I44" s="144">
        <v>0</v>
      </c>
      <c r="J44" s="148"/>
      <c r="K44" s="128">
        <f>(F44*G44*I44)</f>
        <v>0</v>
      </c>
      <c r="L44" s="107"/>
    </row>
    <row r="45" spans="1:12" s="108" customFormat="1" ht="13" customHeight="1">
      <c r="A45" s="121">
        <v>19</v>
      </c>
      <c r="B45" s="328" t="s">
        <v>128</v>
      </c>
      <c r="C45" s="328"/>
      <c r="D45" s="145" t="s">
        <v>136</v>
      </c>
      <c r="E45" s="122" t="s">
        <v>106</v>
      </c>
      <c r="F45" s="144">
        <v>1</v>
      </c>
      <c r="G45" s="127">
        <v>300</v>
      </c>
      <c r="H45" s="122" t="s">
        <v>135</v>
      </c>
      <c r="I45" s="144">
        <v>0</v>
      </c>
      <c r="J45" s="148"/>
      <c r="K45" s="128">
        <f>(F45*G45*I45)</f>
        <v>0</v>
      </c>
      <c r="L45" s="107"/>
    </row>
    <row r="46" spans="1:12" s="108" customFormat="1" ht="13" customHeight="1">
      <c r="A46" s="121">
        <v>20</v>
      </c>
      <c r="B46" s="328" t="s">
        <v>128</v>
      </c>
      <c r="C46" s="328"/>
      <c r="D46" s="145" t="s">
        <v>137</v>
      </c>
      <c r="E46" s="122" t="s">
        <v>106</v>
      </c>
      <c r="F46" s="144">
        <v>1</v>
      </c>
      <c r="G46" s="127">
        <v>400</v>
      </c>
      <c r="H46" s="122" t="s">
        <v>135</v>
      </c>
      <c r="I46" s="144">
        <v>0</v>
      </c>
      <c r="J46" s="148"/>
      <c r="K46" s="128">
        <f>(F46*G46*I46)</f>
        <v>0</v>
      </c>
      <c r="L46" s="107"/>
    </row>
    <row r="47" spans="1:12" s="108" customFormat="1" ht="13" customHeight="1">
      <c r="A47" s="121">
        <v>21</v>
      </c>
      <c r="B47" s="328" t="s">
        <v>128</v>
      </c>
      <c r="C47" s="328"/>
      <c r="D47" s="145" t="s">
        <v>138</v>
      </c>
      <c r="E47" s="122" t="s">
        <v>106</v>
      </c>
      <c r="F47" s="144">
        <v>1</v>
      </c>
      <c r="G47" s="127">
        <v>600</v>
      </c>
      <c r="H47" s="122" t="s">
        <v>135</v>
      </c>
      <c r="I47" s="144">
        <v>0</v>
      </c>
      <c r="J47" s="148"/>
      <c r="K47" s="128">
        <f>(F47*G47*I47)</f>
        <v>0</v>
      </c>
      <c r="L47" s="107"/>
    </row>
    <row r="48" spans="1:12" s="108" customFormat="1">
      <c r="A48" s="149" t="s">
        <v>139</v>
      </c>
      <c r="B48" s="117"/>
      <c r="C48" s="111"/>
      <c r="D48" s="118"/>
      <c r="E48" s="119"/>
      <c r="F48" s="114"/>
      <c r="G48" s="115"/>
      <c r="H48" s="120"/>
      <c r="I48" s="114"/>
      <c r="J48" s="115"/>
      <c r="K48" s="115"/>
      <c r="L48" s="107"/>
    </row>
    <row r="49" spans="1:12" s="108" customFormat="1" ht="13" customHeight="1">
      <c r="A49" s="121">
        <v>22</v>
      </c>
      <c r="B49" s="328" t="s">
        <v>128</v>
      </c>
      <c r="C49" s="328"/>
      <c r="D49" s="145" t="s">
        <v>140</v>
      </c>
      <c r="E49" s="122" t="s">
        <v>106</v>
      </c>
      <c r="F49" s="144">
        <v>1</v>
      </c>
      <c r="G49" s="128">
        <v>54</v>
      </c>
      <c r="H49" s="122" t="s">
        <v>135</v>
      </c>
      <c r="I49" s="144">
        <v>0</v>
      </c>
      <c r="J49" s="148"/>
      <c r="K49" s="128">
        <f>(F49*G49*I49)</f>
        <v>0</v>
      </c>
      <c r="L49" s="107"/>
    </row>
    <row r="50" spans="1:12" s="108" customFormat="1" ht="13" customHeight="1">
      <c r="A50" s="121">
        <v>23</v>
      </c>
      <c r="B50" s="331" t="s">
        <v>128</v>
      </c>
      <c r="C50" s="331"/>
      <c r="D50" s="145" t="s">
        <v>141</v>
      </c>
      <c r="E50" s="122" t="s">
        <v>106</v>
      </c>
      <c r="F50" s="144">
        <v>1</v>
      </c>
      <c r="G50" s="128">
        <v>83</v>
      </c>
      <c r="H50" s="122" t="s">
        <v>135</v>
      </c>
      <c r="I50" s="144">
        <v>0</v>
      </c>
      <c r="J50" s="148"/>
      <c r="K50" s="128">
        <f>(F50*G50*I50)</f>
        <v>0</v>
      </c>
      <c r="L50" s="107"/>
    </row>
    <row r="51" spans="1:12" s="108" customFormat="1" ht="13" customHeight="1">
      <c r="A51" s="150">
        <v>24</v>
      </c>
      <c r="B51" s="328" t="s">
        <v>128</v>
      </c>
      <c r="C51" s="328"/>
      <c r="D51" s="151" t="s">
        <v>142</v>
      </c>
      <c r="E51" s="152" t="s">
        <v>106</v>
      </c>
      <c r="F51" s="153">
        <v>1</v>
      </c>
      <c r="G51" s="154">
        <v>130</v>
      </c>
      <c r="H51" s="152" t="s">
        <v>135</v>
      </c>
      <c r="I51" s="153">
        <v>0</v>
      </c>
      <c r="J51" s="155"/>
      <c r="K51" s="154">
        <f>(F51*G51*I51)</f>
        <v>0</v>
      </c>
      <c r="L51" s="107"/>
    </row>
    <row r="52" spans="1:12" s="108" customFormat="1">
      <c r="A52" s="116" t="s">
        <v>143</v>
      </c>
      <c r="B52" s="117"/>
      <c r="C52" s="111"/>
      <c r="D52" s="156" t="s">
        <v>144</v>
      </c>
      <c r="E52" s="333"/>
      <c r="F52" s="333"/>
      <c r="G52" s="333"/>
      <c r="H52" s="334"/>
      <c r="I52" s="334"/>
      <c r="J52" s="334"/>
      <c r="K52" s="158"/>
      <c r="L52" s="107"/>
    </row>
    <row r="53" spans="1:12" s="108" customFormat="1" ht="13" customHeight="1">
      <c r="A53" s="121">
        <v>25</v>
      </c>
      <c r="B53" s="328" t="s">
        <v>128</v>
      </c>
      <c r="C53" s="328"/>
      <c r="D53" s="145" t="s">
        <v>145</v>
      </c>
      <c r="E53" s="159" t="s">
        <v>106</v>
      </c>
      <c r="F53" s="160">
        <v>0</v>
      </c>
      <c r="G53" s="161">
        <v>194</v>
      </c>
      <c r="H53" s="162" t="s">
        <v>135</v>
      </c>
      <c r="I53" s="163">
        <v>0</v>
      </c>
      <c r="J53" s="164"/>
      <c r="K53" s="161">
        <f>(F53*G53*I53)</f>
        <v>0</v>
      </c>
      <c r="L53" s="107"/>
    </row>
    <row r="54" spans="1:12" s="108" customFormat="1" ht="13" customHeight="1">
      <c r="A54" s="121">
        <v>26</v>
      </c>
      <c r="B54" s="328" t="s">
        <v>128</v>
      </c>
      <c r="C54" s="328"/>
      <c r="D54" s="145" t="s">
        <v>146</v>
      </c>
      <c r="E54" s="122" t="s">
        <v>106</v>
      </c>
      <c r="F54" s="144" t="e">
        <f>CEILING(('Doba instalace'!I71+'Doba instalace'!L71)/7.5,1)</f>
        <v>#REF!</v>
      </c>
      <c r="G54" s="128">
        <v>204</v>
      </c>
      <c r="H54" s="121" t="s">
        <v>135</v>
      </c>
      <c r="I54" s="165">
        <v>1</v>
      </c>
      <c r="J54" s="166"/>
      <c r="K54" s="128" t="e">
        <f>(F54*G54*I54)</f>
        <v>#REF!</v>
      </c>
      <c r="L54" s="107"/>
    </row>
    <row r="55" spans="1:12" s="108" customFormat="1" ht="13" customHeight="1">
      <c r="A55" s="167">
        <v>27</v>
      </c>
      <c r="B55" s="331" t="s">
        <v>128</v>
      </c>
      <c r="C55" s="331"/>
      <c r="D55" s="145" t="s">
        <v>147</v>
      </c>
      <c r="E55" s="152" t="s">
        <v>106</v>
      </c>
      <c r="F55" s="153">
        <f>CEILING(F14/7.5,1)</f>
        <v>4</v>
      </c>
      <c r="G55" s="154">
        <v>201</v>
      </c>
      <c r="H55" s="121" t="s">
        <v>135</v>
      </c>
      <c r="I55" s="168">
        <v>1</v>
      </c>
      <c r="J55" s="169"/>
      <c r="K55" s="128">
        <f>(F55*G55*I55)</f>
        <v>804</v>
      </c>
      <c r="L55" s="107"/>
    </row>
    <row r="56" spans="1:12" s="108" customFormat="1" ht="13" customHeight="1">
      <c r="A56" s="150"/>
      <c r="B56" s="170"/>
      <c r="C56" s="171"/>
      <c r="D56" s="172" t="s">
        <v>148</v>
      </c>
      <c r="E56" s="173"/>
      <c r="F56" s="174"/>
      <c r="G56" s="175"/>
      <c r="H56" s="157"/>
      <c r="I56" s="176"/>
      <c r="J56" s="175"/>
      <c r="K56" s="158"/>
      <c r="L56" s="107"/>
    </row>
    <row r="57" spans="1:12" s="108" customFormat="1" ht="13" customHeight="1">
      <c r="A57" s="162">
        <v>28</v>
      </c>
      <c r="B57" s="332" t="s">
        <v>128</v>
      </c>
      <c r="C57" s="332"/>
      <c r="D57" s="145" t="s">
        <v>145</v>
      </c>
      <c r="E57" s="159" t="s">
        <v>106</v>
      </c>
      <c r="F57" s="160">
        <v>0</v>
      </c>
      <c r="G57" s="161">
        <v>161</v>
      </c>
      <c r="H57" s="121" t="s">
        <v>135</v>
      </c>
      <c r="I57" s="163">
        <v>0</v>
      </c>
      <c r="J57" s="164"/>
      <c r="K57" s="128">
        <f>(F57*G57*I57)</f>
        <v>0</v>
      </c>
      <c r="L57" s="107"/>
    </row>
    <row r="58" spans="1:12" s="108" customFormat="1" ht="13" customHeight="1">
      <c r="A58" s="121">
        <v>29</v>
      </c>
      <c r="B58" s="328" t="s">
        <v>128</v>
      </c>
      <c r="C58" s="328"/>
      <c r="D58" s="145" t="s">
        <v>146</v>
      </c>
      <c r="E58" s="122" t="s">
        <v>106</v>
      </c>
      <c r="F58" s="144">
        <v>0</v>
      </c>
      <c r="G58" s="128">
        <v>161</v>
      </c>
      <c r="H58" s="121" t="s">
        <v>135</v>
      </c>
      <c r="I58" s="165">
        <v>0</v>
      </c>
      <c r="J58" s="166"/>
      <c r="K58" s="128">
        <f>(F58*G58*I58)</f>
        <v>0</v>
      </c>
      <c r="L58" s="107"/>
    </row>
    <row r="59" spans="1:12" s="108" customFormat="1" ht="13" customHeight="1">
      <c r="A59" s="121">
        <v>30</v>
      </c>
      <c r="B59" s="328" t="s">
        <v>128</v>
      </c>
      <c r="C59" s="328"/>
      <c r="D59" s="145" t="s">
        <v>147</v>
      </c>
      <c r="E59" s="122" t="s">
        <v>106</v>
      </c>
      <c r="F59" s="144">
        <v>0</v>
      </c>
      <c r="G59" s="128">
        <v>172</v>
      </c>
      <c r="H59" s="121" t="s">
        <v>135</v>
      </c>
      <c r="I59" s="165">
        <v>0</v>
      </c>
      <c r="J59" s="166"/>
      <c r="K59" s="128">
        <f>(F59*G59*I59)</f>
        <v>0</v>
      </c>
      <c r="L59" s="107"/>
    </row>
    <row r="60" spans="1:12" s="108" customFormat="1" ht="13" customHeight="1">
      <c r="A60" s="119"/>
      <c r="B60" s="113"/>
      <c r="C60" s="113"/>
      <c r="D60" s="112"/>
      <c r="E60" s="133"/>
      <c r="F60" s="131"/>
      <c r="G60" s="115"/>
      <c r="H60" s="119"/>
      <c r="I60" s="177"/>
      <c r="J60" s="115"/>
      <c r="K60" s="115"/>
      <c r="L60" s="107"/>
    </row>
    <row r="61" spans="1:12" s="108" customFormat="1" ht="13" customHeight="1">
      <c r="A61" s="135" t="s">
        <v>149</v>
      </c>
      <c r="B61" s="136"/>
      <c r="C61" s="136"/>
      <c r="D61" s="137"/>
      <c r="E61" s="138"/>
      <c r="F61" s="139"/>
      <c r="G61" s="140"/>
      <c r="H61" s="136"/>
      <c r="I61" s="137"/>
      <c r="J61" s="140"/>
      <c r="K61" s="141" t="e">
        <f>SUM(K44:K59)</f>
        <v>#REF!</v>
      </c>
      <c r="L61" s="107"/>
    </row>
    <row r="62" spans="1:12" s="108" customFormat="1" ht="13" customHeight="1">
      <c r="A62" s="142"/>
      <c r="B62" s="113"/>
      <c r="C62" s="113"/>
      <c r="D62" s="112"/>
      <c r="E62" s="133"/>
      <c r="F62" s="131"/>
      <c r="G62" s="134"/>
      <c r="H62" s="113"/>
      <c r="I62" s="112"/>
      <c r="J62" s="134"/>
      <c r="K62" s="178"/>
      <c r="L62" s="107"/>
    </row>
    <row r="63" spans="1:12" s="108" customFormat="1">
      <c r="A63" s="116" t="s">
        <v>150</v>
      </c>
      <c r="B63" s="117"/>
      <c r="C63" s="111"/>
      <c r="D63" s="118"/>
      <c r="E63" s="119"/>
      <c r="F63" s="114"/>
      <c r="G63" s="115"/>
      <c r="H63" s="120"/>
      <c r="I63" s="114"/>
      <c r="J63" s="115"/>
      <c r="K63" s="178"/>
      <c r="L63" s="107"/>
    </row>
    <row r="64" spans="1:12" s="108" customFormat="1" ht="13" customHeight="1">
      <c r="A64" s="121">
        <v>31</v>
      </c>
      <c r="B64" s="328" t="s">
        <v>128</v>
      </c>
      <c r="C64" s="328"/>
      <c r="D64" s="330" t="s">
        <v>151</v>
      </c>
      <c r="E64" s="330"/>
      <c r="F64" s="330"/>
      <c r="G64" s="330"/>
      <c r="H64" s="330"/>
      <c r="I64" s="330"/>
      <c r="J64" s="330"/>
      <c r="K64" s="179" t="e">
        <f>#REF!</f>
        <v>#REF!</v>
      </c>
      <c r="L64" s="107"/>
    </row>
    <row r="65" spans="1:12" s="108" customFormat="1" ht="13" customHeight="1">
      <c r="A65" s="121">
        <v>32</v>
      </c>
      <c r="B65" s="328" t="s">
        <v>128</v>
      </c>
      <c r="C65" s="328"/>
      <c r="D65" s="330" t="s">
        <v>152</v>
      </c>
      <c r="E65" s="330"/>
      <c r="F65" s="330"/>
      <c r="G65" s="330"/>
      <c r="H65" s="330"/>
      <c r="I65" s="330"/>
      <c r="J65" s="330"/>
      <c r="K65" s="179" t="e">
        <f>(#REF!-(SUM(#REF!)+SUM(#REF!)))*0.05</f>
        <v>#REF!</v>
      </c>
      <c r="L65" s="107"/>
    </row>
    <row r="66" spans="1:12" s="108" customFormat="1" ht="13" customHeight="1">
      <c r="A66" s="121">
        <v>33</v>
      </c>
      <c r="B66" s="328" t="s">
        <v>128</v>
      </c>
      <c r="C66" s="328"/>
      <c r="D66" s="330" t="s">
        <v>128</v>
      </c>
      <c r="E66" s="330"/>
      <c r="F66" s="330"/>
      <c r="G66" s="330"/>
      <c r="H66" s="330"/>
      <c r="I66" s="330"/>
      <c r="J66" s="330"/>
      <c r="K66" s="179">
        <v>0</v>
      </c>
      <c r="L66" s="107"/>
    </row>
    <row r="67" spans="1:12" s="108" customFormat="1" ht="13" customHeight="1">
      <c r="A67" s="121">
        <v>34</v>
      </c>
      <c r="B67" s="328" t="s">
        <v>128</v>
      </c>
      <c r="C67" s="328"/>
      <c r="D67" s="330" t="s">
        <v>128</v>
      </c>
      <c r="E67" s="330"/>
      <c r="F67" s="330"/>
      <c r="G67" s="330"/>
      <c r="H67" s="330"/>
      <c r="I67" s="330"/>
      <c r="J67" s="330"/>
      <c r="K67" s="179">
        <v>0</v>
      </c>
      <c r="L67" s="107"/>
    </row>
    <row r="68" spans="1:12" s="108" customFormat="1" ht="13" customHeight="1">
      <c r="A68" s="121">
        <v>35</v>
      </c>
      <c r="B68" s="328" t="s">
        <v>128</v>
      </c>
      <c r="C68" s="328"/>
      <c r="D68" s="330" t="s">
        <v>128</v>
      </c>
      <c r="E68" s="330"/>
      <c r="F68" s="330"/>
      <c r="G68" s="330"/>
      <c r="H68" s="330"/>
      <c r="I68" s="330"/>
      <c r="J68" s="330"/>
      <c r="K68" s="179">
        <v>0</v>
      </c>
      <c r="L68" s="107"/>
    </row>
    <row r="69" spans="1:12" s="108" customFormat="1" ht="13" customHeight="1">
      <c r="A69" s="121">
        <v>36</v>
      </c>
      <c r="B69" s="328" t="s">
        <v>128</v>
      </c>
      <c r="C69" s="328"/>
      <c r="D69" s="330" t="s">
        <v>128</v>
      </c>
      <c r="E69" s="330"/>
      <c r="F69" s="330"/>
      <c r="G69" s="330"/>
      <c r="H69" s="330"/>
      <c r="I69" s="330"/>
      <c r="J69" s="330"/>
      <c r="K69" s="179">
        <v>0</v>
      </c>
      <c r="L69" s="107"/>
    </row>
    <row r="70" spans="1:12" s="108" customFormat="1" ht="13" customHeight="1">
      <c r="A70" s="121">
        <v>37</v>
      </c>
      <c r="B70" s="328" t="s">
        <v>128</v>
      </c>
      <c r="C70" s="328"/>
      <c r="D70" s="330" t="s">
        <v>128</v>
      </c>
      <c r="E70" s="330"/>
      <c r="F70" s="330"/>
      <c r="G70" s="330"/>
      <c r="H70" s="330"/>
      <c r="I70" s="330"/>
      <c r="J70" s="330"/>
      <c r="K70" s="179">
        <v>0</v>
      </c>
      <c r="L70" s="107"/>
    </row>
    <row r="71" spans="1:12" s="108" customFormat="1" ht="13" customHeight="1">
      <c r="A71" s="121">
        <v>38</v>
      </c>
      <c r="B71" s="328" t="s">
        <v>128</v>
      </c>
      <c r="C71" s="328"/>
      <c r="D71" s="330" t="s">
        <v>128</v>
      </c>
      <c r="E71" s="330"/>
      <c r="F71" s="330"/>
      <c r="G71" s="330"/>
      <c r="H71" s="330"/>
      <c r="I71" s="330"/>
      <c r="J71" s="330"/>
      <c r="K71" s="179">
        <v>0</v>
      </c>
      <c r="L71" s="107"/>
    </row>
    <row r="72" spans="1:12" s="108" customFormat="1" ht="13" customHeight="1">
      <c r="A72" s="121">
        <v>39</v>
      </c>
      <c r="B72" s="328" t="s">
        <v>128</v>
      </c>
      <c r="C72" s="328"/>
      <c r="D72" s="330" t="s">
        <v>128</v>
      </c>
      <c r="E72" s="330"/>
      <c r="F72" s="330"/>
      <c r="G72" s="330"/>
      <c r="H72" s="330"/>
      <c r="I72" s="330"/>
      <c r="J72" s="330"/>
      <c r="K72" s="179">
        <v>0</v>
      </c>
      <c r="L72" s="107"/>
    </row>
    <row r="73" spans="1:12" s="108" customFormat="1" ht="13" customHeight="1">
      <c r="A73" s="121">
        <v>40</v>
      </c>
      <c r="B73" s="328" t="s">
        <v>128</v>
      </c>
      <c r="C73" s="328"/>
      <c r="D73" s="330" t="s">
        <v>128</v>
      </c>
      <c r="E73" s="330"/>
      <c r="F73" s="330"/>
      <c r="G73" s="330"/>
      <c r="H73" s="330"/>
      <c r="I73" s="330"/>
      <c r="J73" s="330"/>
      <c r="K73" s="179">
        <v>0</v>
      </c>
      <c r="L73" s="107"/>
    </row>
    <row r="74" spans="1:12" s="108" customFormat="1" ht="13" customHeight="1">
      <c r="A74" s="121">
        <v>41</v>
      </c>
      <c r="B74" s="328" t="s">
        <v>128</v>
      </c>
      <c r="C74" s="328"/>
      <c r="D74" s="329" t="s">
        <v>153</v>
      </c>
      <c r="E74" s="329"/>
      <c r="F74" s="329"/>
      <c r="G74" s="329"/>
      <c r="H74" s="329"/>
      <c r="I74" s="329"/>
      <c r="J74" s="329"/>
      <c r="K74" s="179">
        <v>0</v>
      </c>
      <c r="L74" s="107"/>
    </row>
    <row r="75" spans="1:12" s="108" customFormat="1" ht="13" customHeight="1">
      <c r="A75" s="119"/>
      <c r="B75" s="113"/>
      <c r="C75" s="113"/>
      <c r="D75" s="112"/>
      <c r="E75" s="133"/>
      <c r="F75" s="131"/>
      <c r="G75" s="134"/>
      <c r="H75" s="113"/>
      <c r="I75" s="112"/>
      <c r="J75" s="134"/>
      <c r="K75" s="178"/>
      <c r="L75" s="107"/>
    </row>
    <row r="76" spans="1:12" s="108" customFormat="1" ht="13" customHeight="1">
      <c r="A76" s="135" t="s">
        <v>154</v>
      </c>
      <c r="B76" s="136"/>
      <c r="C76" s="136"/>
      <c r="D76" s="137"/>
      <c r="E76" s="138"/>
      <c r="F76" s="139"/>
      <c r="G76" s="140"/>
      <c r="H76" s="136"/>
      <c r="I76" s="137"/>
      <c r="J76" s="140"/>
      <c r="K76" s="141" t="e">
        <f>SUM(K64:K75)</f>
        <v>#REF!</v>
      </c>
      <c r="L76" s="107"/>
    </row>
    <row r="77" spans="1:12" s="108" customFormat="1" ht="13" customHeight="1">
      <c r="A77" s="142"/>
      <c r="B77" s="113"/>
      <c r="C77" s="113"/>
      <c r="D77" s="112"/>
      <c r="E77" s="133"/>
      <c r="F77" s="131"/>
      <c r="G77" s="134"/>
      <c r="H77" s="113"/>
      <c r="I77" s="112"/>
      <c r="J77" s="134"/>
      <c r="K77" s="115"/>
      <c r="L77" s="107"/>
    </row>
    <row r="78" spans="1:12" s="108" customFormat="1">
      <c r="A78" s="116" t="s">
        <v>155</v>
      </c>
      <c r="B78" s="117"/>
      <c r="C78" s="111"/>
      <c r="D78" s="118"/>
      <c r="E78" s="325" t="s">
        <v>156</v>
      </c>
      <c r="F78" s="325"/>
      <c r="G78" s="325"/>
      <c r="H78" s="325" t="s">
        <v>157</v>
      </c>
      <c r="I78" s="325"/>
      <c r="J78" s="325"/>
      <c r="K78" s="115"/>
      <c r="L78" s="107"/>
    </row>
    <row r="79" spans="1:12" s="108" customFormat="1" ht="13" customHeight="1">
      <c r="A79" s="121">
        <v>42</v>
      </c>
      <c r="B79" s="323"/>
      <c r="C79" s="323"/>
      <c r="D79" s="181" t="s">
        <v>158</v>
      </c>
      <c r="E79" s="180"/>
      <c r="F79" s="180"/>
      <c r="G79" s="179" t="e">
        <f>#REF!</f>
        <v>#REF!</v>
      </c>
      <c r="H79" s="180"/>
      <c r="I79" s="180"/>
      <c r="J79" s="179" t="e">
        <f>SUM(#REF!)</f>
        <v>#REF!</v>
      </c>
      <c r="K79" s="182" t="e">
        <f>SUM(G79,J79)</f>
        <v>#REF!</v>
      </c>
      <c r="L79" s="107"/>
    </row>
    <row r="80" spans="1:12" s="108" customFormat="1" ht="13" customHeight="1">
      <c r="A80" s="121">
        <v>43</v>
      </c>
      <c r="B80" s="323"/>
      <c r="C80" s="323"/>
      <c r="D80" s="181" t="s">
        <v>159</v>
      </c>
      <c r="E80" s="180"/>
      <c r="F80" s="180"/>
      <c r="G80" s="179">
        <f>(B80*C80)+(E80*F80)</f>
        <v>0</v>
      </c>
      <c r="H80" s="180"/>
      <c r="I80" s="180"/>
      <c r="J80" s="179" t="e">
        <f>SUM(#REF!)+#REF!</f>
        <v>#REF!</v>
      </c>
      <c r="K80" s="182" t="e">
        <f>SUM(G80,J80)</f>
        <v>#REF!</v>
      </c>
      <c r="L80" s="107"/>
    </row>
    <row r="81" spans="1:12" s="108" customFormat="1" ht="13" customHeight="1">
      <c r="A81" s="121">
        <v>44</v>
      </c>
      <c r="B81" s="323"/>
      <c r="C81" s="323"/>
      <c r="D81" s="181" t="s">
        <v>160</v>
      </c>
      <c r="E81" s="180"/>
      <c r="F81" s="180"/>
      <c r="G81" s="179">
        <f>(B81*C81)+(E81*F81)</f>
        <v>0</v>
      </c>
      <c r="H81" s="180"/>
      <c r="I81" s="180"/>
      <c r="J81" s="179">
        <f>(E81*F81)+(H81*I81)</f>
        <v>0</v>
      </c>
      <c r="K81" s="182">
        <f>SUM(G81,J81)</f>
        <v>0</v>
      </c>
      <c r="L81" s="107"/>
    </row>
    <row r="82" spans="1:12" s="108" customFormat="1" ht="13" customHeight="1">
      <c r="A82" s="121">
        <v>45</v>
      </c>
      <c r="B82" s="323"/>
      <c r="C82" s="323"/>
      <c r="D82" s="181" t="s">
        <v>161</v>
      </c>
      <c r="E82" s="180"/>
      <c r="F82" s="180"/>
      <c r="G82" s="179">
        <f>(B82*C82)+(E82*F82)</f>
        <v>0</v>
      </c>
      <c r="H82" s="180"/>
      <c r="I82" s="180"/>
      <c r="J82" s="179" t="e">
        <f>#REF!</f>
        <v>#REF!</v>
      </c>
      <c r="K82" s="182" t="e">
        <f>SUM(G82,J82)</f>
        <v>#REF!</v>
      </c>
      <c r="L82" s="107"/>
    </row>
    <row r="83" spans="1:12" s="108" customFormat="1" ht="13" customHeight="1">
      <c r="A83" s="121">
        <v>46</v>
      </c>
      <c r="B83" s="323"/>
      <c r="C83" s="323"/>
      <c r="D83" s="181" t="s">
        <v>153</v>
      </c>
      <c r="E83" s="180"/>
      <c r="F83" s="180"/>
      <c r="G83" s="179">
        <f>(B83*C83)+(E83*F83)</f>
        <v>0</v>
      </c>
      <c r="H83" s="180"/>
      <c r="I83" s="180"/>
      <c r="J83" s="179" t="e">
        <f>SUM(#REF!)</f>
        <v>#REF!</v>
      </c>
      <c r="K83" s="182" t="e">
        <f>SUM(G83,J83)</f>
        <v>#REF!</v>
      </c>
      <c r="L83" s="107"/>
    </row>
    <row r="84" spans="1:12" s="108" customFormat="1" ht="13" customHeight="1">
      <c r="A84" s="119"/>
      <c r="B84" s="113"/>
      <c r="C84" s="113"/>
      <c r="D84" s="112"/>
      <c r="E84" s="133"/>
      <c r="F84" s="131"/>
      <c r="G84" s="134"/>
      <c r="H84" s="113"/>
      <c r="I84" s="112"/>
      <c r="J84" s="134"/>
      <c r="K84" s="115"/>
      <c r="L84" s="107"/>
    </row>
    <row r="85" spans="1:12" s="108" customFormat="1" ht="13" customHeight="1">
      <c r="A85" s="135" t="s">
        <v>162</v>
      </c>
      <c r="B85" s="136"/>
      <c r="C85" s="136"/>
      <c r="D85" s="137"/>
      <c r="E85" s="138"/>
      <c r="F85" s="139"/>
      <c r="G85" s="140"/>
      <c r="H85" s="136"/>
      <c r="I85" s="137"/>
      <c r="J85" s="140"/>
      <c r="K85" s="141" t="e">
        <f>SUM(K79:K84)</f>
        <v>#REF!</v>
      </c>
      <c r="L85" s="107"/>
    </row>
    <row r="86" spans="1:12" s="108" customFormat="1" ht="13" customHeight="1">
      <c r="A86" s="142"/>
      <c r="B86" s="113"/>
      <c r="C86" s="113"/>
      <c r="D86" s="112"/>
      <c r="E86" s="133"/>
      <c r="F86" s="131"/>
      <c r="G86" s="134"/>
      <c r="H86" s="113"/>
      <c r="I86" s="112"/>
      <c r="J86" s="134"/>
      <c r="K86" s="178"/>
      <c r="L86" s="107"/>
    </row>
    <row r="87" spans="1:12" s="108" customFormat="1">
      <c r="A87" s="116" t="s">
        <v>163</v>
      </c>
      <c r="B87" s="117"/>
      <c r="C87" s="111"/>
      <c r="D87" s="118"/>
      <c r="E87" s="119"/>
      <c r="F87" s="114"/>
      <c r="G87" s="115"/>
      <c r="H87" s="120"/>
      <c r="I87" s="114"/>
      <c r="J87" s="115"/>
      <c r="K87" s="178"/>
      <c r="L87" s="107"/>
    </row>
    <row r="88" spans="1:12" s="108" customFormat="1" ht="13" customHeight="1">
      <c r="A88" s="121">
        <v>27</v>
      </c>
      <c r="B88" s="323"/>
      <c r="C88" s="323"/>
      <c r="D88" s="183" t="s">
        <v>164</v>
      </c>
      <c r="E88" s="184"/>
      <c r="F88" s="184"/>
      <c r="G88" s="184"/>
      <c r="H88" s="183" t="s">
        <v>165</v>
      </c>
      <c r="I88" s="185" t="s">
        <v>166</v>
      </c>
      <c r="J88" s="186">
        <f>850000-J89</f>
        <v>688000</v>
      </c>
      <c r="K88" s="127"/>
      <c r="L88" s="107"/>
    </row>
    <row r="89" spans="1:12" s="108" customFormat="1" ht="13" customHeight="1">
      <c r="A89" s="121">
        <v>27</v>
      </c>
      <c r="B89" s="323"/>
      <c r="C89" s="323"/>
      <c r="D89" s="183" t="s">
        <v>167</v>
      </c>
      <c r="E89" s="184"/>
      <c r="F89" s="184"/>
      <c r="G89" s="187" t="s">
        <v>168</v>
      </c>
      <c r="H89" s="183" t="s">
        <v>165</v>
      </c>
      <c r="I89" s="185" t="s">
        <v>166</v>
      </c>
      <c r="J89" s="188">
        <v>162000</v>
      </c>
      <c r="K89" s="127"/>
      <c r="L89" s="107"/>
    </row>
    <row r="90" spans="1:12" s="108" customFormat="1" ht="13" customHeight="1">
      <c r="A90" s="121">
        <v>27</v>
      </c>
      <c r="B90" s="323"/>
      <c r="C90" s="323"/>
      <c r="D90" s="183" t="s">
        <v>169</v>
      </c>
      <c r="E90" s="184"/>
      <c r="F90" s="184"/>
      <c r="G90" s="187"/>
      <c r="H90" s="183" t="s">
        <v>165</v>
      </c>
      <c r="I90" s="185" t="s">
        <v>166</v>
      </c>
      <c r="J90" s="189">
        <f>G14*175</f>
        <v>35525</v>
      </c>
      <c r="K90" s="127"/>
      <c r="L90" s="107"/>
    </row>
    <row r="91" spans="1:12" s="108" customFormat="1" ht="13" customHeight="1">
      <c r="A91" s="167">
        <v>28</v>
      </c>
      <c r="B91" s="326"/>
      <c r="C91" s="326"/>
      <c r="D91" s="190" t="s">
        <v>170</v>
      </c>
      <c r="E91" s="191"/>
      <c r="F91" s="191"/>
      <c r="G91" s="192" t="s">
        <v>168</v>
      </c>
      <c r="H91" s="183" t="s">
        <v>165</v>
      </c>
      <c r="I91" s="185" t="s">
        <v>166</v>
      </c>
      <c r="J91" s="193">
        <v>32000</v>
      </c>
      <c r="K91" s="194"/>
      <c r="L91" s="107"/>
    </row>
    <row r="92" spans="1:12" s="108" customFormat="1" ht="13" customHeight="1">
      <c r="A92" s="150"/>
      <c r="B92" s="195"/>
      <c r="C92" s="195"/>
      <c r="D92" s="184"/>
      <c r="E92" s="184"/>
      <c r="F92" s="184"/>
      <c r="G92" s="184"/>
      <c r="H92" s="184"/>
      <c r="I92" s="184"/>
      <c r="J92" s="196"/>
      <c r="K92" s="197"/>
      <c r="L92" s="107"/>
    </row>
    <row r="93" spans="1:12" s="108" customFormat="1" ht="13" customHeight="1">
      <c r="A93" s="162">
        <v>25</v>
      </c>
      <c r="B93" s="327"/>
      <c r="C93" s="327"/>
      <c r="D93" s="198" t="s">
        <v>171</v>
      </c>
      <c r="E93" s="199"/>
      <c r="F93" s="199"/>
      <c r="G93" s="199"/>
      <c r="H93" s="200"/>
      <c r="I93" s="201"/>
      <c r="J93" s="202"/>
      <c r="K93" s="203" t="e">
        <f>#REF!</f>
        <v>#REF!</v>
      </c>
      <c r="L93" s="107"/>
    </row>
    <row r="94" spans="1:12" s="108" customFormat="1" ht="13" customHeight="1">
      <c r="A94" s="121">
        <v>26</v>
      </c>
      <c r="B94" s="323"/>
      <c r="C94" s="323"/>
      <c r="D94" s="183" t="s">
        <v>172</v>
      </c>
      <c r="E94" s="184"/>
      <c r="F94" s="184"/>
      <c r="G94" s="184"/>
      <c r="H94" s="187"/>
      <c r="I94" s="184"/>
      <c r="J94" s="204"/>
      <c r="K94" s="205" t="e">
        <f>SUM(K22,K41,K61,K76,K85)</f>
        <v>#REF!</v>
      </c>
      <c r="L94" s="107"/>
    </row>
    <row r="95" spans="1:12" s="108" customFormat="1" ht="13" customHeight="1">
      <c r="A95" s="135" t="s">
        <v>173</v>
      </c>
      <c r="B95" s="136"/>
      <c r="C95" s="136"/>
      <c r="D95" s="137"/>
      <c r="E95" s="138"/>
      <c r="F95" s="139"/>
      <c r="G95" s="140"/>
      <c r="H95" s="173" t="s">
        <v>174</v>
      </c>
      <c r="I95" s="206" t="e">
        <f>K95/K93*100</f>
        <v>#REF!</v>
      </c>
      <c r="J95" s="140"/>
      <c r="K95" s="207" t="e">
        <f>K93-K94</f>
        <v>#REF!</v>
      </c>
      <c r="L95" s="107"/>
    </row>
    <row r="96" spans="1:12" s="108" customFormat="1" ht="13" customHeight="1">
      <c r="A96" s="121">
        <v>27</v>
      </c>
      <c r="B96" s="323"/>
      <c r="C96" s="323"/>
      <c r="D96" s="183" t="s">
        <v>175</v>
      </c>
      <c r="E96" s="184"/>
      <c r="F96" s="184"/>
      <c r="G96" s="184"/>
      <c r="H96" s="184"/>
      <c r="I96" s="184"/>
      <c r="J96" s="189"/>
      <c r="K96" s="208" t="e">
        <f>(J89+0.001)/J88*(F18*G18)</f>
        <v>#REF!</v>
      </c>
      <c r="L96" s="107"/>
    </row>
    <row r="97" spans="1:12" s="108" customFormat="1" ht="13" customHeight="1">
      <c r="A97" s="121">
        <v>27</v>
      </c>
      <c r="B97" s="323"/>
      <c r="C97" s="323"/>
      <c r="D97" s="183" t="s">
        <v>176</v>
      </c>
      <c r="E97" s="184"/>
      <c r="F97" s="184"/>
      <c r="G97" s="184"/>
      <c r="H97" s="184"/>
      <c r="I97" s="184"/>
      <c r="J97" s="189"/>
      <c r="K97" s="208">
        <f>((J91+0.001)/(J90+0.001)*(F14*G14))</f>
        <v>5485.7143027244392</v>
      </c>
      <c r="L97" s="107"/>
    </row>
    <row r="98" spans="1:12" s="108" customFormat="1" ht="13" customHeight="1">
      <c r="A98" s="324" t="s">
        <v>177</v>
      </c>
      <c r="B98" s="324"/>
      <c r="C98" s="324"/>
      <c r="D98" s="324"/>
      <c r="E98" s="191"/>
      <c r="F98" s="191"/>
      <c r="G98" s="191"/>
      <c r="H98" s="191"/>
      <c r="I98" s="191"/>
      <c r="J98" s="209"/>
      <c r="K98" s="210" t="e">
        <f>SUM(K96:K97)</f>
        <v>#REF!</v>
      </c>
      <c r="L98" s="107"/>
    </row>
    <row r="99" spans="1:12" s="108" customFormat="1" ht="13" customHeight="1">
      <c r="A99" s="211" t="s">
        <v>178</v>
      </c>
      <c r="B99" s="212"/>
      <c r="C99" s="212"/>
      <c r="D99" s="213"/>
      <c r="E99" s="214"/>
      <c r="F99" s="215"/>
      <c r="G99" s="216"/>
      <c r="H99" s="217" t="s">
        <v>174</v>
      </c>
      <c r="I99" s="218" t="e">
        <f>K99/K93*100</f>
        <v>#REF!</v>
      </c>
      <c r="J99" s="216"/>
      <c r="K99" s="219" t="e">
        <f>K93-(K94+K98)</f>
        <v>#REF!</v>
      </c>
      <c r="L99" s="107"/>
    </row>
    <row r="100" spans="1:12" ht="13" customHeight="1"/>
    <row r="101" spans="1:12" ht="13" customHeight="1"/>
    <row r="102" spans="1:12" ht="13" customHeight="1"/>
    <row r="103" spans="1:12" ht="13" customHeight="1"/>
    <row r="104" spans="1:12" ht="13" customHeight="1"/>
    <row r="105" spans="1:12" ht="13" customHeight="1"/>
    <row r="106" spans="1:12" ht="13" customHeight="1"/>
    <row r="107" spans="1:12" ht="13" customHeight="1"/>
    <row r="108" spans="1:12" ht="13" customHeight="1"/>
    <row r="109" spans="1:12" ht="13" customHeight="1"/>
    <row r="110" spans="1:12" ht="13" customHeight="1"/>
    <row r="111" spans="1:12" ht="13" customHeight="1"/>
    <row r="112" spans="1: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  <row r="551" ht="13" customHeight="1"/>
    <row r="552" ht="13" customHeight="1"/>
    <row r="553" ht="13" customHeight="1"/>
    <row r="554" ht="13" customHeight="1"/>
    <row r="555" ht="13" customHeight="1"/>
    <row r="556" ht="13" customHeight="1"/>
    <row r="557" ht="13" customHeight="1"/>
    <row r="558" ht="13" customHeight="1"/>
    <row r="559" ht="13" customHeight="1"/>
    <row r="560" ht="13" customHeight="1"/>
    <row r="561" ht="13" customHeight="1"/>
    <row r="562" ht="13" customHeight="1"/>
    <row r="563" ht="13" customHeight="1"/>
    <row r="564" ht="13" customHeight="1"/>
    <row r="565" ht="13" customHeight="1"/>
    <row r="566" ht="13" customHeight="1"/>
    <row r="567" ht="13" customHeight="1"/>
    <row r="568" ht="13" customHeight="1"/>
    <row r="569" ht="13" customHeight="1"/>
    <row r="570" ht="13" customHeight="1"/>
    <row r="571" ht="13" customHeight="1"/>
    <row r="572" ht="13" customHeight="1"/>
    <row r="573" ht="13" customHeight="1"/>
    <row r="574" ht="13" customHeight="1"/>
    <row r="575" ht="13" customHeight="1"/>
    <row r="576" ht="13" customHeight="1"/>
    <row r="577" ht="13" customHeight="1"/>
    <row r="578" ht="13" customHeight="1"/>
    <row r="579" ht="13" customHeight="1"/>
    <row r="580" ht="13" customHeight="1"/>
    <row r="581" ht="13" customHeight="1"/>
    <row r="582" ht="13" customHeight="1"/>
    <row r="583" ht="13" customHeight="1"/>
    <row r="584" ht="13" customHeight="1"/>
    <row r="585" ht="13" customHeight="1"/>
  </sheetData>
  <mergeCells count="68">
    <mergeCell ref="B20:C20"/>
    <mergeCell ref="A1:K1"/>
    <mergeCell ref="B3:C3"/>
    <mergeCell ref="B14:C14"/>
    <mergeCell ref="B16:C16"/>
    <mergeCell ref="B18:C18"/>
    <mergeCell ref="B44:C44"/>
    <mergeCell ref="B37:C37"/>
    <mergeCell ref="B38:C38"/>
    <mergeCell ref="B25:C25"/>
    <mergeCell ref="B26:C26"/>
    <mergeCell ref="B27:C27"/>
    <mergeCell ref="B30:C30"/>
    <mergeCell ref="B34:C34"/>
    <mergeCell ref="B35:C35"/>
    <mergeCell ref="B39:C39"/>
    <mergeCell ref="B57:C57"/>
    <mergeCell ref="B50:C50"/>
    <mergeCell ref="B51:C51"/>
    <mergeCell ref="B64:C64"/>
    <mergeCell ref="D64:J64"/>
    <mergeCell ref="E52:G52"/>
    <mergeCell ref="H52:J52"/>
    <mergeCell ref="B58:C58"/>
    <mergeCell ref="B59:C59"/>
    <mergeCell ref="B53:C53"/>
    <mergeCell ref="B54:C54"/>
    <mergeCell ref="B45:C45"/>
    <mergeCell ref="B46:C46"/>
    <mergeCell ref="B47:C47"/>
    <mergeCell ref="B49:C49"/>
    <mergeCell ref="B55:C55"/>
    <mergeCell ref="B65:C65"/>
    <mergeCell ref="D65:J65"/>
    <mergeCell ref="B72:C72"/>
    <mergeCell ref="D72:J72"/>
    <mergeCell ref="B69:C69"/>
    <mergeCell ref="D69:J69"/>
    <mergeCell ref="B66:C66"/>
    <mergeCell ref="D66:J66"/>
    <mergeCell ref="B74:C74"/>
    <mergeCell ref="D74:J74"/>
    <mergeCell ref="B67:C67"/>
    <mergeCell ref="D67:J67"/>
    <mergeCell ref="B68:C68"/>
    <mergeCell ref="D68:J68"/>
    <mergeCell ref="B70:C70"/>
    <mergeCell ref="D70:J70"/>
    <mergeCell ref="B71:C71"/>
    <mergeCell ref="D71:J71"/>
    <mergeCell ref="B73:C73"/>
    <mergeCell ref="D73:J73"/>
    <mergeCell ref="B97:C97"/>
    <mergeCell ref="A98:D98"/>
    <mergeCell ref="E78:G78"/>
    <mergeCell ref="H78:J78"/>
    <mergeCell ref="B79:C79"/>
    <mergeCell ref="B80:C80"/>
    <mergeCell ref="B81:C81"/>
    <mergeCell ref="B82:C82"/>
    <mergeCell ref="B94:C94"/>
    <mergeCell ref="B96:C96"/>
    <mergeCell ref="B91:C91"/>
    <mergeCell ref="B93:C93"/>
    <mergeCell ref="B83:C83"/>
    <mergeCell ref="B88:C88"/>
    <mergeCell ref="B89:C89"/>
    <mergeCell ref="B90:C90"/>
  </mergeCells>
  <phoneticPr fontId="0" type="noConversion"/>
  <pageMargins left="0.78749999999999998" right="0.39374999999999999" top="0.33333333333333337" bottom="0.39375000000000004" header="0.11805555555555557" footer="0.11805555555555557"/>
  <pageSetup paperSize="9" scale="80" firstPageNumber="0" orientation="portrait" horizontalDpi="300" verticalDpi="300"/>
  <headerFooter alignWithMargins="0">
    <oddFooter>&amp;LArial CE,kurzíva\&amp;12List č. &amp;P z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Specifikace VIS</vt:lpstr>
      <vt:lpstr>Doba instalace</vt:lpstr>
      <vt:lpstr>Kalkulace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Vladimir Pavlik</cp:lastModifiedBy>
  <cp:lastPrinted>2014-06-10T12:51:30Z</cp:lastPrinted>
  <dcterms:created xsi:type="dcterms:W3CDTF">2009-06-04T13:50:58Z</dcterms:created>
  <dcterms:modified xsi:type="dcterms:W3CDTF">2018-09-12T15:14:34Z</dcterms:modified>
</cp:coreProperties>
</file>